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/>
  <xr:revisionPtr revIDLastSave="0" documentId="8_{148C2801-1D66-4116-BB6C-8E4AA612D57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432" i="1" l="1"/>
  <c r="AI432" i="1"/>
  <c r="AG432" i="1"/>
  <c r="AE432" i="1"/>
  <c r="AC432" i="1"/>
  <c r="AB432" i="1"/>
  <c r="Y432" i="1"/>
  <c r="P432" i="1"/>
  <c r="O432" i="1"/>
  <c r="I432" i="1"/>
  <c r="F432" i="1"/>
  <c r="D432" i="1"/>
  <c r="AK432" i="1" s="1"/>
  <c r="AJ431" i="1"/>
  <c r="AI431" i="1"/>
  <c r="AG431" i="1"/>
  <c r="AE431" i="1"/>
  <c r="AC431" i="1"/>
  <c r="AB431" i="1"/>
  <c r="Y431" i="1"/>
  <c r="P431" i="1"/>
  <c r="O431" i="1"/>
  <c r="I431" i="1"/>
  <c r="F431" i="1"/>
  <c r="D431" i="1"/>
  <c r="AK431" i="1" s="1"/>
  <c r="AJ430" i="1"/>
  <c r="AI430" i="1"/>
  <c r="AG430" i="1"/>
  <c r="AE430" i="1"/>
  <c r="AC430" i="1"/>
  <c r="AB430" i="1"/>
  <c r="Y430" i="1"/>
  <c r="P430" i="1"/>
  <c r="O430" i="1"/>
  <c r="I430" i="1"/>
  <c r="F430" i="1"/>
  <c r="D430" i="1"/>
  <c r="AK430" i="1" s="1"/>
  <c r="AJ429" i="1"/>
  <c r="AI429" i="1"/>
  <c r="AG429" i="1"/>
  <c r="AE429" i="1"/>
  <c r="AC429" i="1"/>
  <c r="AB429" i="1"/>
  <c r="Y429" i="1"/>
  <c r="P429" i="1"/>
  <c r="O429" i="1"/>
  <c r="I429" i="1"/>
  <c r="F429" i="1"/>
  <c r="D429" i="1"/>
  <c r="AK429" i="1" s="1"/>
  <c r="AJ428" i="1"/>
  <c r="AI428" i="1"/>
  <c r="AG428" i="1"/>
  <c r="AE428" i="1"/>
  <c r="AC428" i="1"/>
  <c r="AB428" i="1"/>
  <c r="Y428" i="1"/>
  <c r="P428" i="1"/>
  <c r="O428" i="1"/>
  <c r="I428" i="1"/>
  <c r="F428" i="1"/>
  <c r="D428" i="1"/>
  <c r="AK428" i="1" s="1"/>
  <c r="AJ427" i="1"/>
  <c r="AI427" i="1"/>
  <c r="AG427" i="1"/>
  <c r="AE427" i="1"/>
  <c r="AC427" i="1"/>
  <c r="AB427" i="1"/>
  <c r="Y427" i="1"/>
  <c r="P427" i="1"/>
  <c r="O427" i="1"/>
  <c r="I427" i="1"/>
  <c r="F427" i="1"/>
  <c r="D427" i="1"/>
  <c r="AK427" i="1" s="1"/>
  <c r="AJ426" i="1"/>
  <c r="AI426" i="1"/>
  <c r="AG426" i="1"/>
  <c r="AE426" i="1"/>
  <c r="AC426" i="1"/>
  <c r="AB426" i="1"/>
  <c r="Y426" i="1"/>
  <c r="I426" i="1"/>
  <c r="F426" i="1"/>
  <c r="D426" i="1"/>
  <c r="AK426" i="1" s="1"/>
  <c r="AJ425" i="1"/>
  <c r="AI425" i="1"/>
  <c r="AG425" i="1"/>
  <c r="AE425" i="1"/>
  <c r="AC425" i="1"/>
  <c r="AB425" i="1"/>
  <c r="Y425" i="1"/>
  <c r="P425" i="1"/>
  <c r="O425" i="1"/>
  <c r="I425" i="1"/>
  <c r="J432" i="1" s="1"/>
  <c r="F425" i="1"/>
  <c r="D425" i="1"/>
  <c r="AK425" i="1" s="1"/>
  <c r="J425" i="1" l="1"/>
  <c r="J426" i="1"/>
  <c r="J427" i="1"/>
  <c r="J428" i="1"/>
  <c r="J429" i="1"/>
  <c r="J430" i="1"/>
  <c r="J431" i="1"/>
  <c r="AJ409" i="1" l="1"/>
  <c r="AI409" i="1"/>
  <c r="AG409" i="1"/>
  <c r="AE409" i="1"/>
  <c r="AC409" i="1"/>
  <c r="AB409" i="1"/>
  <c r="Y409" i="1"/>
  <c r="P409" i="1"/>
  <c r="O409" i="1"/>
  <c r="I409" i="1"/>
  <c r="F409" i="1"/>
  <c r="D409" i="1"/>
  <c r="AK409" i="1" s="1"/>
  <c r="AJ408" i="1"/>
  <c r="AI408" i="1"/>
  <c r="AG408" i="1"/>
  <c r="AE408" i="1"/>
  <c r="AC408" i="1"/>
  <c r="AB408" i="1"/>
  <c r="Y408" i="1"/>
  <c r="P408" i="1"/>
  <c r="O408" i="1"/>
  <c r="I408" i="1"/>
  <c r="F408" i="1"/>
  <c r="D408" i="1"/>
  <c r="AK408" i="1" s="1"/>
  <c r="AJ407" i="1"/>
  <c r="AI407" i="1"/>
  <c r="AG407" i="1"/>
  <c r="AE407" i="1"/>
  <c r="AC407" i="1"/>
  <c r="AB407" i="1"/>
  <c r="Y407" i="1"/>
  <c r="P407" i="1"/>
  <c r="O407" i="1"/>
  <c r="I407" i="1"/>
  <c r="F407" i="1"/>
  <c r="D407" i="1"/>
  <c r="AK407" i="1" s="1"/>
  <c r="AJ406" i="1"/>
  <c r="AI406" i="1"/>
  <c r="AG406" i="1"/>
  <c r="AE406" i="1"/>
  <c r="AC406" i="1"/>
  <c r="AB406" i="1"/>
  <c r="Y406" i="1"/>
  <c r="P406" i="1"/>
  <c r="O406" i="1"/>
  <c r="I406" i="1"/>
  <c r="F406" i="1"/>
  <c r="D406" i="1"/>
  <c r="AK406" i="1" s="1"/>
  <c r="AJ405" i="1"/>
  <c r="AI405" i="1"/>
  <c r="AG405" i="1"/>
  <c r="AE405" i="1"/>
  <c r="AC405" i="1"/>
  <c r="AB405" i="1"/>
  <c r="Y405" i="1"/>
  <c r="P405" i="1"/>
  <c r="O405" i="1"/>
  <c r="I405" i="1"/>
  <c r="J409" i="1" s="1"/>
  <c r="F405" i="1"/>
  <c r="D405" i="1"/>
  <c r="AK405" i="1" s="1"/>
  <c r="J405" i="1" l="1"/>
  <c r="J406" i="1"/>
  <c r="J407" i="1"/>
  <c r="J408" i="1"/>
  <c r="AJ397" i="1" l="1"/>
  <c r="AI397" i="1"/>
  <c r="AG397" i="1"/>
  <c r="AE397" i="1"/>
  <c r="AC397" i="1"/>
  <c r="AB397" i="1"/>
  <c r="Y397" i="1"/>
  <c r="P397" i="1"/>
  <c r="O397" i="1"/>
  <c r="I397" i="1"/>
  <c r="F397" i="1"/>
  <c r="D397" i="1"/>
  <c r="AK397" i="1" s="1"/>
  <c r="AJ396" i="1"/>
  <c r="AI396" i="1"/>
  <c r="AG396" i="1"/>
  <c r="AE396" i="1"/>
  <c r="AC396" i="1"/>
  <c r="AB396" i="1"/>
  <c r="Y396" i="1"/>
  <c r="P396" i="1"/>
  <c r="O396" i="1"/>
  <c r="I396" i="1"/>
  <c r="F396" i="1"/>
  <c r="D396" i="1"/>
  <c r="AK396" i="1" s="1"/>
  <c r="AJ395" i="1"/>
  <c r="AI395" i="1"/>
  <c r="AG395" i="1"/>
  <c r="AE395" i="1"/>
  <c r="AC395" i="1"/>
  <c r="AB395" i="1"/>
  <c r="Y395" i="1"/>
  <c r="P395" i="1"/>
  <c r="O395" i="1"/>
  <c r="I395" i="1"/>
  <c r="F395" i="1"/>
  <c r="D395" i="1"/>
  <c r="AK395" i="1" s="1"/>
  <c r="AJ394" i="1"/>
  <c r="AI394" i="1"/>
  <c r="AG394" i="1"/>
  <c r="AE394" i="1"/>
  <c r="AC394" i="1"/>
  <c r="AB394" i="1"/>
  <c r="Y394" i="1"/>
  <c r="P394" i="1"/>
  <c r="O394" i="1"/>
  <c r="I394" i="1"/>
  <c r="F394" i="1"/>
  <c r="D394" i="1"/>
  <c r="AK394" i="1" s="1"/>
  <c r="AJ393" i="1"/>
  <c r="AI393" i="1"/>
  <c r="AG393" i="1"/>
  <c r="AE393" i="1"/>
  <c r="AC393" i="1"/>
  <c r="AB393" i="1"/>
  <c r="Y393" i="1"/>
  <c r="P393" i="1"/>
  <c r="O393" i="1"/>
  <c r="I393" i="1"/>
  <c r="F393" i="1"/>
  <c r="D393" i="1"/>
  <c r="AK393" i="1" s="1"/>
  <c r="AJ392" i="1"/>
  <c r="AI392" i="1"/>
  <c r="AG392" i="1"/>
  <c r="AE392" i="1"/>
  <c r="AC392" i="1"/>
  <c r="AB392" i="1"/>
  <c r="Y392" i="1"/>
  <c r="P392" i="1"/>
  <c r="O392" i="1"/>
  <c r="I392" i="1"/>
  <c r="F392" i="1"/>
  <c r="D392" i="1"/>
  <c r="AK392" i="1" s="1"/>
  <c r="AJ391" i="1"/>
  <c r="AI391" i="1"/>
  <c r="AG391" i="1"/>
  <c r="AE391" i="1"/>
  <c r="AC391" i="1"/>
  <c r="AB391" i="1"/>
  <c r="Y391" i="1"/>
  <c r="I391" i="1"/>
  <c r="F391" i="1"/>
  <c r="D391" i="1"/>
  <c r="AK391" i="1" s="1"/>
  <c r="AJ390" i="1"/>
  <c r="AI390" i="1"/>
  <c r="AG390" i="1"/>
  <c r="AE390" i="1"/>
  <c r="AC390" i="1"/>
  <c r="AB390" i="1"/>
  <c r="Y390" i="1"/>
  <c r="P390" i="1"/>
  <c r="O390" i="1"/>
  <c r="I390" i="1"/>
  <c r="F390" i="1"/>
  <c r="D390" i="1"/>
  <c r="AK390" i="1" s="1"/>
  <c r="AJ389" i="1"/>
  <c r="AI389" i="1"/>
  <c r="AG389" i="1"/>
  <c r="AE389" i="1"/>
  <c r="AC389" i="1"/>
  <c r="AB389" i="1"/>
  <c r="Y389" i="1"/>
  <c r="P389" i="1"/>
  <c r="O389" i="1"/>
  <c r="I389" i="1"/>
  <c r="J397" i="1" s="1"/>
  <c r="F389" i="1"/>
  <c r="D389" i="1"/>
  <c r="AK389" i="1" s="1"/>
  <c r="AJ388" i="1"/>
  <c r="AI388" i="1"/>
  <c r="AG388" i="1"/>
  <c r="AE388" i="1"/>
  <c r="AC388" i="1"/>
  <c r="AB388" i="1"/>
  <c r="Y388" i="1"/>
  <c r="P388" i="1"/>
  <c r="O388" i="1"/>
  <c r="I388" i="1"/>
  <c r="J396" i="1" s="1"/>
  <c r="F388" i="1"/>
  <c r="D388" i="1"/>
  <c r="AK388" i="1" s="1"/>
  <c r="AJ387" i="1"/>
  <c r="AI387" i="1"/>
  <c r="AG387" i="1"/>
  <c r="AE387" i="1"/>
  <c r="AC387" i="1"/>
  <c r="AB387" i="1"/>
  <c r="Y387" i="1"/>
  <c r="I387" i="1"/>
  <c r="J395" i="1" s="1"/>
  <c r="F387" i="1"/>
  <c r="D387" i="1"/>
  <c r="AK387" i="1" s="1"/>
  <c r="AJ386" i="1"/>
  <c r="AI386" i="1"/>
  <c r="AG386" i="1"/>
  <c r="AE386" i="1"/>
  <c r="AC386" i="1"/>
  <c r="AB386" i="1"/>
  <c r="Y386" i="1"/>
  <c r="P386" i="1"/>
  <c r="O386" i="1"/>
  <c r="I386" i="1"/>
  <c r="J394" i="1" s="1"/>
  <c r="F386" i="1"/>
  <c r="D386" i="1"/>
  <c r="AK386" i="1" s="1"/>
  <c r="AJ385" i="1"/>
  <c r="AI385" i="1"/>
  <c r="AG385" i="1"/>
  <c r="AE385" i="1"/>
  <c r="AC385" i="1"/>
  <c r="AB385" i="1"/>
  <c r="Y385" i="1"/>
  <c r="P385" i="1"/>
  <c r="O385" i="1"/>
  <c r="I385" i="1"/>
  <c r="J393" i="1" s="1"/>
  <c r="F385" i="1"/>
  <c r="D385" i="1"/>
  <c r="AK385" i="1" s="1"/>
  <c r="AJ384" i="1"/>
  <c r="AI384" i="1"/>
  <c r="AG384" i="1"/>
  <c r="AE384" i="1"/>
  <c r="AC384" i="1"/>
  <c r="AB384" i="1"/>
  <c r="Y384" i="1"/>
  <c r="P384" i="1"/>
  <c r="O384" i="1"/>
  <c r="I384" i="1"/>
  <c r="J392" i="1" s="1"/>
  <c r="F384" i="1"/>
  <c r="D384" i="1"/>
  <c r="AK384" i="1" s="1"/>
  <c r="AJ383" i="1"/>
  <c r="AI383" i="1"/>
  <c r="AG383" i="1"/>
  <c r="AE383" i="1"/>
  <c r="AC383" i="1"/>
  <c r="AB383" i="1"/>
  <c r="Y383" i="1"/>
  <c r="P383" i="1"/>
  <c r="O383" i="1"/>
  <c r="I383" i="1"/>
  <c r="J391" i="1" s="1"/>
  <c r="F383" i="1"/>
  <c r="D383" i="1"/>
  <c r="AK383" i="1" s="1"/>
  <c r="AJ382" i="1"/>
  <c r="AI382" i="1"/>
  <c r="AG382" i="1"/>
  <c r="AE382" i="1"/>
  <c r="AC382" i="1"/>
  <c r="AB382" i="1"/>
  <c r="Y382" i="1"/>
  <c r="P382" i="1"/>
  <c r="O382" i="1"/>
  <c r="I382" i="1"/>
  <c r="J390" i="1" s="1"/>
  <c r="F382" i="1"/>
  <c r="D382" i="1"/>
  <c r="AK382" i="1" s="1"/>
  <c r="AJ381" i="1"/>
  <c r="AI381" i="1"/>
  <c r="AG381" i="1"/>
  <c r="AE381" i="1"/>
  <c r="AC381" i="1"/>
  <c r="AB381" i="1"/>
  <c r="Y381" i="1"/>
  <c r="P381" i="1"/>
  <c r="O381" i="1"/>
  <c r="I381" i="1"/>
  <c r="J389" i="1" s="1"/>
  <c r="F381" i="1"/>
  <c r="D381" i="1"/>
  <c r="AK381" i="1" s="1"/>
  <c r="AJ380" i="1"/>
  <c r="AI380" i="1"/>
  <c r="AG380" i="1"/>
  <c r="AE380" i="1"/>
  <c r="AC380" i="1"/>
  <c r="AB380" i="1"/>
  <c r="P380" i="1"/>
  <c r="O380" i="1"/>
  <c r="I380" i="1"/>
  <c r="F380" i="1"/>
  <c r="D380" i="1"/>
  <c r="AK380" i="1" s="1"/>
  <c r="AJ379" i="1"/>
  <c r="AI379" i="1"/>
  <c r="AG379" i="1"/>
  <c r="AE379" i="1"/>
  <c r="AC379" i="1"/>
  <c r="AB379" i="1"/>
  <c r="P379" i="1"/>
  <c r="O379" i="1"/>
  <c r="I379" i="1"/>
  <c r="J387" i="1" s="1"/>
  <c r="F379" i="1"/>
  <c r="D379" i="1"/>
  <c r="AK379" i="1" s="1"/>
  <c r="AJ378" i="1"/>
  <c r="AI378" i="1"/>
  <c r="AG378" i="1"/>
  <c r="AE378" i="1"/>
  <c r="AC378" i="1"/>
  <c r="AB378" i="1"/>
  <c r="P378" i="1"/>
  <c r="O378" i="1"/>
  <c r="I378" i="1"/>
  <c r="F378" i="1"/>
  <c r="D378" i="1"/>
  <c r="AK378" i="1" s="1"/>
  <c r="AJ377" i="1"/>
  <c r="AI377" i="1"/>
  <c r="AG377" i="1"/>
  <c r="AE377" i="1"/>
  <c r="AC377" i="1"/>
  <c r="AB377" i="1"/>
  <c r="P377" i="1"/>
  <c r="O377" i="1"/>
  <c r="I377" i="1"/>
  <c r="J385" i="1" s="1"/>
  <c r="F377" i="1"/>
  <c r="D377" i="1"/>
  <c r="AK377" i="1" s="1"/>
  <c r="AJ376" i="1"/>
  <c r="AI376" i="1"/>
  <c r="AG376" i="1"/>
  <c r="AE376" i="1"/>
  <c r="AC376" i="1"/>
  <c r="AB376" i="1"/>
  <c r="P376" i="1"/>
  <c r="O376" i="1"/>
  <c r="I376" i="1"/>
  <c r="F376" i="1"/>
  <c r="D376" i="1"/>
  <c r="AK376" i="1" s="1"/>
  <c r="AJ375" i="1"/>
  <c r="AI375" i="1"/>
  <c r="AG375" i="1"/>
  <c r="AE375" i="1"/>
  <c r="AC375" i="1"/>
  <c r="AB375" i="1"/>
  <c r="P375" i="1"/>
  <c r="O375" i="1"/>
  <c r="I375" i="1"/>
  <c r="J383" i="1" s="1"/>
  <c r="F375" i="1"/>
  <c r="D375" i="1"/>
  <c r="AK375" i="1" s="1"/>
  <c r="AJ374" i="1"/>
  <c r="AI374" i="1"/>
  <c r="AG374" i="1"/>
  <c r="AE374" i="1"/>
  <c r="AC374" i="1"/>
  <c r="AB374" i="1"/>
  <c r="P374" i="1"/>
  <c r="O374" i="1"/>
  <c r="I374" i="1"/>
  <c r="F374" i="1"/>
  <c r="D374" i="1"/>
  <c r="AK374" i="1" s="1"/>
  <c r="AJ373" i="1"/>
  <c r="AI373" i="1"/>
  <c r="AG373" i="1"/>
  <c r="AE373" i="1"/>
  <c r="AC373" i="1"/>
  <c r="AB373" i="1"/>
  <c r="P373" i="1"/>
  <c r="O373" i="1"/>
  <c r="I373" i="1"/>
  <c r="F373" i="1"/>
  <c r="D373" i="1"/>
  <c r="AK373" i="1" s="1"/>
  <c r="AJ372" i="1"/>
  <c r="AI372" i="1"/>
  <c r="AG372" i="1"/>
  <c r="AE372" i="1"/>
  <c r="AC372" i="1"/>
  <c r="AB372" i="1"/>
  <c r="P372" i="1"/>
  <c r="O372" i="1"/>
  <c r="I372" i="1"/>
  <c r="F372" i="1"/>
  <c r="D372" i="1"/>
  <c r="AK372" i="1" s="1"/>
  <c r="AJ371" i="1"/>
  <c r="AI371" i="1"/>
  <c r="AG371" i="1"/>
  <c r="AE371" i="1"/>
  <c r="AC371" i="1"/>
  <c r="AB371" i="1"/>
  <c r="P371" i="1"/>
  <c r="O371" i="1"/>
  <c r="I371" i="1"/>
  <c r="F371" i="1"/>
  <c r="D371" i="1"/>
  <c r="AK371" i="1" s="1"/>
  <c r="AJ370" i="1"/>
  <c r="AI370" i="1"/>
  <c r="AG370" i="1"/>
  <c r="AE370" i="1"/>
  <c r="AC370" i="1"/>
  <c r="AB370" i="1"/>
  <c r="P370" i="1"/>
  <c r="O370" i="1"/>
  <c r="I370" i="1"/>
  <c r="F370" i="1"/>
  <c r="D370" i="1"/>
  <c r="AK370" i="1" s="1"/>
  <c r="AJ369" i="1"/>
  <c r="AI369" i="1"/>
  <c r="AG369" i="1"/>
  <c r="AE369" i="1"/>
  <c r="AC369" i="1"/>
  <c r="AB369" i="1"/>
  <c r="P369" i="1"/>
  <c r="O369" i="1"/>
  <c r="I369" i="1"/>
  <c r="F369" i="1"/>
  <c r="D369" i="1"/>
  <c r="AK369" i="1" s="1"/>
  <c r="AJ368" i="1"/>
  <c r="AI368" i="1"/>
  <c r="AG368" i="1"/>
  <c r="AE368" i="1"/>
  <c r="AC368" i="1"/>
  <c r="AB368" i="1"/>
  <c r="P368" i="1"/>
  <c r="O368" i="1"/>
  <c r="I368" i="1"/>
  <c r="F368" i="1"/>
  <c r="D368" i="1"/>
  <c r="AK368" i="1" s="1"/>
  <c r="AJ367" i="1"/>
  <c r="AI367" i="1"/>
  <c r="AG367" i="1"/>
  <c r="AE367" i="1"/>
  <c r="AC367" i="1"/>
  <c r="AB367" i="1"/>
  <c r="P367" i="1"/>
  <c r="O367" i="1"/>
  <c r="I367" i="1"/>
  <c r="J375" i="1" s="1"/>
  <c r="F367" i="1"/>
  <c r="D367" i="1"/>
  <c r="AK367" i="1" s="1"/>
  <c r="AJ366" i="1"/>
  <c r="AC366" i="1"/>
  <c r="AB366" i="1"/>
  <c r="I366" i="1"/>
  <c r="J374" i="1" s="1"/>
  <c r="F366" i="1"/>
  <c r="D366" i="1"/>
  <c r="AK366" i="1" s="1"/>
  <c r="AJ365" i="1"/>
  <c r="AC365" i="1"/>
  <c r="AB365" i="1"/>
  <c r="I365" i="1"/>
  <c r="F365" i="1"/>
  <c r="D365" i="1"/>
  <c r="AK365" i="1" s="1"/>
  <c r="AJ364" i="1"/>
  <c r="AI364" i="1"/>
  <c r="AG364" i="1"/>
  <c r="AE364" i="1"/>
  <c r="AC364" i="1"/>
  <c r="AB364" i="1"/>
  <c r="P364" i="1"/>
  <c r="O364" i="1"/>
  <c r="I364" i="1"/>
  <c r="F364" i="1"/>
  <c r="D364" i="1"/>
  <c r="AK364" i="1" s="1"/>
  <c r="AJ363" i="1"/>
  <c r="AI363" i="1"/>
  <c r="AG363" i="1"/>
  <c r="AE363" i="1"/>
  <c r="AC363" i="1"/>
  <c r="AB363" i="1"/>
  <c r="P363" i="1"/>
  <c r="O363" i="1"/>
  <c r="I363" i="1"/>
  <c r="F363" i="1"/>
  <c r="D363" i="1"/>
  <c r="AK363" i="1" s="1"/>
  <c r="AJ362" i="1"/>
  <c r="AI362" i="1"/>
  <c r="AG362" i="1"/>
  <c r="AE362" i="1"/>
  <c r="AC362" i="1"/>
  <c r="AB362" i="1"/>
  <c r="P362" i="1"/>
  <c r="O362" i="1"/>
  <c r="I362" i="1"/>
  <c r="F362" i="1"/>
  <c r="D362" i="1"/>
  <c r="AK362" i="1" s="1"/>
  <c r="AJ361" i="1"/>
  <c r="AI361" i="1"/>
  <c r="AG361" i="1"/>
  <c r="AE361" i="1"/>
  <c r="AC361" i="1"/>
  <c r="AB361" i="1"/>
  <c r="P361" i="1"/>
  <c r="O361" i="1"/>
  <c r="I361" i="1"/>
  <c r="F361" i="1"/>
  <c r="D361" i="1"/>
  <c r="AK361" i="1" s="1"/>
  <c r="AJ360" i="1"/>
  <c r="AI360" i="1"/>
  <c r="AG360" i="1"/>
  <c r="AE360" i="1"/>
  <c r="AC360" i="1"/>
  <c r="AB360" i="1"/>
  <c r="I360" i="1"/>
  <c r="F360" i="1"/>
  <c r="D360" i="1"/>
  <c r="AK360" i="1" s="1"/>
  <c r="AJ359" i="1"/>
  <c r="AI359" i="1"/>
  <c r="AG359" i="1"/>
  <c r="AE359" i="1"/>
  <c r="AC359" i="1"/>
  <c r="AB359" i="1"/>
  <c r="P359" i="1"/>
  <c r="O359" i="1"/>
  <c r="I359" i="1"/>
  <c r="J367" i="1" s="1"/>
  <c r="F359" i="1"/>
  <c r="D359" i="1"/>
  <c r="AK359" i="1" s="1"/>
  <c r="AJ358" i="1"/>
  <c r="AI358" i="1"/>
  <c r="AG358" i="1"/>
  <c r="AE358" i="1"/>
  <c r="AC358" i="1"/>
  <c r="AB358" i="1"/>
  <c r="P358" i="1"/>
  <c r="O358" i="1"/>
  <c r="I358" i="1"/>
  <c r="F358" i="1"/>
  <c r="D358" i="1"/>
  <c r="AK358" i="1" s="1"/>
  <c r="AJ357" i="1"/>
  <c r="AI357" i="1"/>
  <c r="AG357" i="1"/>
  <c r="AE357" i="1"/>
  <c r="AC357" i="1"/>
  <c r="AB357" i="1"/>
  <c r="P357" i="1"/>
  <c r="O357" i="1"/>
  <c r="I357" i="1"/>
  <c r="F357" i="1"/>
  <c r="D357" i="1"/>
  <c r="AK357" i="1" s="1"/>
  <c r="AJ356" i="1"/>
  <c r="AI356" i="1"/>
  <c r="AG356" i="1"/>
  <c r="AE356" i="1"/>
  <c r="AC356" i="1"/>
  <c r="AB356" i="1"/>
  <c r="P356" i="1"/>
  <c r="O356" i="1"/>
  <c r="I356" i="1"/>
  <c r="F356" i="1"/>
  <c r="D356" i="1"/>
  <c r="AK356" i="1" s="1"/>
  <c r="AJ355" i="1"/>
  <c r="AI355" i="1"/>
  <c r="AG355" i="1"/>
  <c r="AE355" i="1"/>
  <c r="AC355" i="1"/>
  <c r="AB355" i="1"/>
  <c r="P355" i="1"/>
  <c r="O355" i="1"/>
  <c r="I355" i="1"/>
  <c r="F355" i="1"/>
  <c r="D355" i="1"/>
  <c r="AK355" i="1" s="1"/>
  <c r="AJ354" i="1"/>
  <c r="AI354" i="1"/>
  <c r="AG354" i="1"/>
  <c r="AE354" i="1"/>
  <c r="AC354" i="1"/>
  <c r="AB354" i="1"/>
  <c r="P354" i="1"/>
  <c r="O354" i="1"/>
  <c r="I354" i="1"/>
  <c r="F354" i="1"/>
  <c r="D354" i="1"/>
  <c r="AK354" i="1" s="1"/>
  <c r="AJ353" i="1"/>
  <c r="AI353" i="1"/>
  <c r="AG353" i="1"/>
  <c r="AE353" i="1"/>
  <c r="AC353" i="1"/>
  <c r="AB353" i="1"/>
  <c r="P353" i="1"/>
  <c r="O353" i="1"/>
  <c r="I353" i="1"/>
  <c r="F353" i="1"/>
  <c r="D353" i="1"/>
  <c r="AK353" i="1" s="1"/>
  <c r="AJ352" i="1"/>
  <c r="AI352" i="1"/>
  <c r="AG352" i="1"/>
  <c r="AE352" i="1"/>
  <c r="AC352" i="1"/>
  <c r="AB352" i="1"/>
  <c r="P352" i="1"/>
  <c r="O352" i="1"/>
  <c r="I352" i="1"/>
  <c r="F352" i="1"/>
  <c r="D352" i="1"/>
  <c r="AK352" i="1" s="1"/>
  <c r="AJ351" i="1"/>
  <c r="AI351" i="1"/>
  <c r="AG351" i="1"/>
  <c r="AE351" i="1"/>
  <c r="AC351" i="1"/>
  <c r="AB351" i="1"/>
  <c r="P351" i="1"/>
  <c r="O351" i="1"/>
  <c r="I351" i="1"/>
  <c r="F351" i="1"/>
  <c r="D351" i="1"/>
  <c r="AK351" i="1" s="1"/>
  <c r="AJ350" i="1"/>
  <c r="AI350" i="1"/>
  <c r="AG350" i="1"/>
  <c r="AE350" i="1"/>
  <c r="AC350" i="1"/>
  <c r="AB350" i="1"/>
  <c r="P350" i="1"/>
  <c r="O350" i="1"/>
  <c r="I350" i="1"/>
  <c r="F350" i="1"/>
  <c r="D350" i="1"/>
  <c r="AK350" i="1" s="1"/>
  <c r="AJ349" i="1"/>
  <c r="AI349" i="1"/>
  <c r="AG349" i="1"/>
  <c r="AE349" i="1"/>
  <c r="AC349" i="1"/>
  <c r="AB349" i="1"/>
  <c r="I349" i="1"/>
  <c r="F349" i="1"/>
  <c r="D349" i="1"/>
  <c r="AK349" i="1" s="1"/>
  <c r="AJ348" i="1"/>
  <c r="AI348" i="1"/>
  <c r="AG348" i="1"/>
  <c r="AE348" i="1"/>
  <c r="AC348" i="1"/>
  <c r="AB348" i="1"/>
  <c r="I348" i="1"/>
  <c r="F348" i="1"/>
  <c r="D348" i="1"/>
  <c r="AK348" i="1" s="1"/>
  <c r="AJ347" i="1"/>
  <c r="AI347" i="1"/>
  <c r="AG347" i="1"/>
  <c r="AE347" i="1"/>
  <c r="AC347" i="1"/>
  <c r="AB347" i="1"/>
  <c r="I347" i="1"/>
  <c r="F347" i="1"/>
  <c r="D347" i="1"/>
  <c r="AK347" i="1" s="1"/>
  <c r="AJ346" i="1"/>
  <c r="AI346" i="1"/>
  <c r="AG346" i="1"/>
  <c r="AE346" i="1"/>
  <c r="AC346" i="1"/>
  <c r="AB346" i="1"/>
  <c r="I346" i="1"/>
  <c r="F346" i="1"/>
  <c r="D346" i="1"/>
  <c r="AK346" i="1" s="1"/>
  <c r="AJ345" i="1"/>
  <c r="AI345" i="1"/>
  <c r="AG345" i="1"/>
  <c r="AE345" i="1"/>
  <c r="AC345" i="1"/>
  <c r="AB345" i="1"/>
  <c r="I345" i="1"/>
  <c r="F345" i="1"/>
  <c r="D345" i="1"/>
  <c r="AK345" i="1" s="1"/>
  <c r="AJ344" i="1"/>
  <c r="AI344" i="1"/>
  <c r="AG344" i="1"/>
  <c r="AE344" i="1"/>
  <c r="AC344" i="1"/>
  <c r="AB344" i="1"/>
  <c r="P344" i="1"/>
  <c r="O344" i="1"/>
  <c r="I344" i="1"/>
  <c r="F344" i="1"/>
  <c r="D344" i="1"/>
  <c r="AK344" i="1" s="1"/>
  <c r="AJ343" i="1"/>
  <c r="AI343" i="1"/>
  <c r="AG343" i="1"/>
  <c r="AE343" i="1"/>
  <c r="AC343" i="1"/>
  <c r="AB343" i="1"/>
  <c r="P343" i="1"/>
  <c r="O343" i="1"/>
  <c r="I343" i="1"/>
  <c r="F343" i="1"/>
  <c r="D343" i="1"/>
  <c r="AK343" i="1" s="1"/>
  <c r="AJ342" i="1"/>
  <c r="AI342" i="1"/>
  <c r="AG342" i="1"/>
  <c r="AE342" i="1"/>
  <c r="AC342" i="1"/>
  <c r="AB342" i="1"/>
  <c r="P342" i="1"/>
  <c r="O342" i="1"/>
  <c r="I342" i="1"/>
  <c r="F342" i="1"/>
  <c r="D342" i="1"/>
  <c r="AK342" i="1" s="1"/>
  <c r="AJ341" i="1"/>
  <c r="AI341" i="1"/>
  <c r="AG341" i="1"/>
  <c r="AE341" i="1"/>
  <c r="AC341" i="1"/>
  <c r="AB341" i="1"/>
  <c r="P341" i="1"/>
  <c r="O341" i="1"/>
  <c r="I341" i="1"/>
  <c r="F341" i="1"/>
  <c r="D341" i="1"/>
  <c r="AK341" i="1" s="1"/>
  <c r="AJ340" i="1"/>
  <c r="AI340" i="1"/>
  <c r="AG340" i="1"/>
  <c r="AE340" i="1"/>
  <c r="AC340" i="1"/>
  <c r="AB340" i="1"/>
  <c r="P340" i="1"/>
  <c r="O340" i="1"/>
  <c r="I340" i="1"/>
  <c r="F340" i="1"/>
  <c r="D340" i="1"/>
  <c r="AK340" i="1" s="1"/>
  <c r="AJ339" i="1"/>
  <c r="AI339" i="1"/>
  <c r="AG339" i="1"/>
  <c r="AE339" i="1"/>
  <c r="AC339" i="1"/>
  <c r="AB339" i="1"/>
  <c r="P339" i="1"/>
  <c r="O339" i="1"/>
  <c r="I339" i="1"/>
  <c r="F339" i="1"/>
  <c r="D339" i="1"/>
  <c r="AK339" i="1" s="1"/>
  <c r="AJ338" i="1"/>
  <c r="AI338" i="1"/>
  <c r="AG338" i="1"/>
  <c r="AE338" i="1"/>
  <c r="AC338" i="1"/>
  <c r="AB338" i="1"/>
  <c r="P338" i="1"/>
  <c r="O338" i="1"/>
  <c r="I338" i="1"/>
  <c r="F338" i="1"/>
  <c r="D338" i="1"/>
  <c r="AK338" i="1" s="1"/>
  <c r="AJ337" i="1"/>
  <c r="AI337" i="1"/>
  <c r="AG337" i="1"/>
  <c r="AE337" i="1"/>
  <c r="AC337" i="1"/>
  <c r="AB337" i="1"/>
  <c r="I337" i="1"/>
  <c r="F337" i="1"/>
  <c r="D337" i="1"/>
  <c r="AK337" i="1" s="1"/>
  <c r="AJ336" i="1"/>
  <c r="AI336" i="1"/>
  <c r="AG336" i="1"/>
  <c r="AE336" i="1"/>
  <c r="AC336" i="1"/>
  <c r="AB336" i="1"/>
  <c r="P336" i="1"/>
  <c r="O336" i="1"/>
  <c r="I336" i="1"/>
  <c r="F336" i="1"/>
  <c r="D336" i="1"/>
  <c r="AK336" i="1" s="1"/>
  <c r="AJ335" i="1"/>
  <c r="AI335" i="1"/>
  <c r="AG335" i="1"/>
  <c r="AE335" i="1"/>
  <c r="AC335" i="1"/>
  <c r="AB335" i="1"/>
  <c r="P335" i="1"/>
  <c r="O335" i="1"/>
  <c r="I335" i="1"/>
  <c r="F335" i="1"/>
  <c r="D335" i="1"/>
  <c r="AK335" i="1" s="1"/>
  <c r="AJ334" i="1"/>
  <c r="AI334" i="1"/>
  <c r="AG334" i="1"/>
  <c r="AE334" i="1"/>
  <c r="AC334" i="1"/>
  <c r="AB334" i="1"/>
  <c r="P334" i="1"/>
  <c r="O334" i="1"/>
  <c r="I334" i="1"/>
  <c r="F334" i="1"/>
  <c r="D334" i="1"/>
  <c r="AK334" i="1" s="1"/>
  <c r="AJ333" i="1"/>
  <c r="AI333" i="1"/>
  <c r="AG333" i="1"/>
  <c r="AE333" i="1"/>
  <c r="AC333" i="1"/>
  <c r="AB333" i="1"/>
  <c r="I333" i="1"/>
  <c r="J341" i="1" s="1"/>
  <c r="F333" i="1"/>
  <c r="D333" i="1"/>
  <c r="AK333" i="1" s="1"/>
  <c r="AJ332" i="1"/>
  <c r="AI332" i="1"/>
  <c r="AG332" i="1"/>
  <c r="AE332" i="1"/>
  <c r="AC332" i="1"/>
  <c r="AB332" i="1"/>
  <c r="P332" i="1"/>
  <c r="O332" i="1"/>
  <c r="I332" i="1"/>
  <c r="F332" i="1"/>
  <c r="D332" i="1"/>
  <c r="AK332" i="1" s="1"/>
  <c r="AJ331" i="1"/>
  <c r="AI331" i="1"/>
  <c r="AG331" i="1"/>
  <c r="AE331" i="1"/>
  <c r="AC331" i="1"/>
  <c r="AB331" i="1"/>
  <c r="J331" i="1"/>
  <c r="I331" i="1"/>
  <c r="F331" i="1"/>
  <c r="D331" i="1"/>
  <c r="AK331" i="1" s="1"/>
  <c r="AK330" i="1"/>
  <c r="AJ330" i="1"/>
  <c r="AI330" i="1"/>
  <c r="AG330" i="1"/>
  <c r="AE330" i="1"/>
  <c r="AC330" i="1"/>
  <c r="AB330" i="1"/>
  <c r="P330" i="1"/>
  <c r="O330" i="1"/>
  <c r="I330" i="1"/>
  <c r="F330" i="1"/>
  <c r="D330" i="1"/>
  <c r="AJ329" i="1"/>
  <c r="AI329" i="1"/>
  <c r="AG329" i="1"/>
  <c r="AE329" i="1"/>
  <c r="AC329" i="1"/>
  <c r="AB329" i="1"/>
  <c r="J329" i="1"/>
  <c r="I329" i="1"/>
  <c r="F329" i="1"/>
  <c r="D329" i="1"/>
  <c r="AK329" i="1" s="1"/>
  <c r="AK328" i="1"/>
  <c r="AJ328" i="1"/>
  <c r="AI328" i="1"/>
  <c r="AG328" i="1"/>
  <c r="AE328" i="1"/>
  <c r="AC328" i="1"/>
  <c r="AB328" i="1"/>
  <c r="P328" i="1"/>
  <c r="O328" i="1"/>
  <c r="I328" i="1"/>
  <c r="F328" i="1"/>
  <c r="D328" i="1"/>
  <c r="AJ327" i="1"/>
  <c r="AI327" i="1"/>
  <c r="AG327" i="1"/>
  <c r="AE327" i="1"/>
  <c r="AC327" i="1"/>
  <c r="AB327" i="1"/>
  <c r="P327" i="1"/>
  <c r="O327" i="1"/>
  <c r="J327" i="1"/>
  <c r="I327" i="1"/>
  <c r="F327" i="1"/>
  <c r="D327" i="1"/>
  <c r="AK327" i="1" s="1"/>
  <c r="AK326" i="1"/>
  <c r="AJ326" i="1"/>
  <c r="AI326" i="1"/>
  <c r="AG326" i="1"/>
  <c r="AE326" i="1"/>
  <c r="AC326" i="1"/>
  <c r="AB326" i="1"/>
  <c r="P326" i="1"/>
  <c r="O326" i="1"/>
  <c r="I326" i="1"/>
  <c r="F326" i="1"/>
  <c r="D326" i="1"/>
  <c r="AJ325" i="1"/>
  <c r="AI325" i="1"/>
  <c r="AG325" i="1"/>
  <c r="AE325" i="1"/>
  <c r="AC325" i="1"/>
  <c r="AB325" i="1"/>
  <c r="P325" i="1"/>
  <c r="O325" i="1"/>
  <c r="J325" i="1"/>
  <c r="I325" i="1"/>
  <c r="F325" i="1"/>
  <c r="D325" i="1"/>
  <c r="AK325" i="1" s="1"/>
  <c r="AK324" i="1"/>
  <c r="AJ324" i="1"/>
  <c r="AI324" i="1"/>
  <c r="AG324" i="1"/>
  <c r="AE324" i="1"/>
  <c r="AC324" i="1"/>
  <c r="AB324" i="1"/>
  <c r="I324" i="1"/>
  <c r="J332" i="1" s="1"/>
  <c r="F324" i="1"/>
  <c r="D324" i="1"/>
  <c r="AJ323" i="1"/>
  <c r="AI323" i="1"/>
  <c r="AG323" i="1"/>
  <c r="AE323" i="1"/>
  <c r="AC323" i="1"/>
  <c r="AB323" i="1"/>
  <c r="P323" i="1"/>
  <c r="O323" i="1"/>
  <c r="J323" i="1"/>
  <c r="I323" i="1"/>
  <c r="F323" i="1"/>
  <c r="D323" i="1"/>
  <c r="AK323" i="1" s="1"/>
  <c r="AK322" i="1"/>
  <c r="AJ322" i="1"/>
  <c r="AI322" i="1"/>
  <c r="AG322" i="1"/>
  <c r="AE322" i="1"/>
  <c r="AC322" i="1"/>
  <c r="AB322" i="1"/>
  <c r="P322" i="1"/>
  <c r="O322" i="1"/>
  <c r="I322" i="1"/>
  <c r="J330" i="1" s="1"/>
  <c r="F322" i="1"/>
  <c r="D322" i="1"/>
  <c r="AJ321" i="1"/>
  <c r="AI321" i="1"/>
  <c r="AG321" i="1"/>
  <c r="AE321" i="1"/>
  <c r="AC321" i="1"/>
  <c r="AB321" i="1"/>
  <c r="P321" i="1"/>
  <c r="O321" i="1"/>
  <c r="J321" i="1"/>
  <c r="I321" i="1"/>
  <c r="F321" i="1"/>
  <c r="D321" i="1"/>
  <c r="AK321" i="1" s="1"/>
  <c r="AK320" i="1"/>
  <c r="AJ320" i="1"/>
  <c r="AI320" i="1"/>
  <c r="AG320" i="1"/>
  <c r="AE320" i="1"/>
  <c r="AC320" i="1"/>
  <c r="AB320" i="1"/>
  <c r="P320" i="1"/>
  <c r="O320" i="1"/>
  <c r="I320" i="1"/>
  <c r="J328" i="1" s="1"/>
  <c r="F320" i="1"/>
  <c r="D320" i="1"/>
  <c r="AJ319" i="1"/>
  <c r="AI319" i="1"/>
  <c r="AG319" i="1"/>
  <c r="AE319" i="1"/>
  <c r="AC319" i="1"/>
  <c r="AB319" i="1"/>
  <c r="P319" i="1"/>
  <c r="O319" i="1"/>
  <c r="J319" i="1"/>
  <c r="I319" i="1"/>
  <c r="F319" i="1"/>
  <c r="D319" i="1"/>
  <c r="AK319" i="1" s="1"/>
  <c r="AK318" i="1"/>
  <c r="AJ318" i="1"/>
  <c r="AI318" i="1"/>
  <c r="AG318" i="1"/>
  <c r="AE318" i="1"/>
  <c r="AC318" i="1"/>
  <c r="AB318" i="1"/>
  <c r="P318" i="1"/>
  <c r="O318" i="1"/>
  <c r="I318" i="1"/>
  <c r="J326" i="1" s="1"/>
  <c r="F318" i="1"/>
  <c r="D318" i="1"/>
  <c r="AJ317" i="1"/>
  <c r="AI317" i="1"/>
  <c r="AG317" i="1"/>
  <c r="AE317" i="1"/>
  <c r="AC317" i="1"/>
  <c r="AB317" i="1"/>
  <c r="P317" i="1"/>
  <c r="O317" i="1"/>
  <c r="J317" i="1"/>
  <c r="I317" i="1"/>
  <c r="F317" i="1"/>
  <c r="D317" i="1"/>
  <c r="AK317" i="1" s="1"/>
  <c r="AK316" i="1"/>
  <c r="AJ316" i="1"/>
  <c r="AI316" i="1"/>
  <c r="AG316" i="1"/>
  <c r="AE316" i="1"/>
  <c r="AC316" i="1"/>
  <c r="AB316" i="1"/>
  <c r="P316" i="1"/>
  <c r="O316" i="1"/>
  <c r="I316" i="1"/>
  <c r="J324" i="1" s="1"/>
  <c r="F316" i="1"/>
  <c r="D316" i="1"/>
  <c r="AJ315" i="1"/>
  <c r="AI315" i="1"/>
  <c r="AG315" i="1"/>
  <c r="AE315" i="1"/>
  <c r="AC315" i="1"/>
  <c r="AB315" i="1"/>
  <c r="P315" i="1"/>
  <c r="O315" i="1"/>
  <c r="J315" i="1"/>
  <c r="I315" i="1"/>
  <c r="F315" i="1"/>
  <c r="D315" i="1"/>
  <c r="AK315" i="1" s="1"/>
  <c r="AK314" i="1"/>
  <c r="AJ314" i="1"/>
  <c r="AI314" i="1"/>
  <c r="AG314" i="1"/>
  <c r="AE314" i="1"/>
  <c r="AC314" i="1"/>
  <c r="AB314" i="1"/>
  <c r="P314" i="1"/>
  <c r="O314" i="1"/>
  <c r="I314" i="1"/>
  <c r="J322" i="1" s="1"/>
  <c r="F314" i="1"/>
  <c r="D314" i="1"/>
  <c r="AJ313" i="1"/>
  <c r="AI313" i="1"/>
  <c r="AG313" i="1"/>
  <c r="AE313" i="1"/>
  <c r="AC313" i="1"/>
  <c r="AB313" i="1"/>
  <c r="P313" i="1"/>
  <c r="O313" i="1"/>
  <c r="J313" i="1"/>
  <c r="I313" i="1"/>
  <c r="F313" i="1"/>
  <c r="D313" i="1"/>
  <c r="AK313" i="1" s="1"/>
  <c r="AK312" i="1"/>
  <c r="AJ312" i="1"/>
  <c r="AI312" i="1"/>
  <c r="AG312" i="1"/>
  <c r="AE312" i="1"/>
  <c r="AC312" i="1"/>
  <c r="AB312" i="1"/>
  <c r="P312" i="1"/>
  <c r="O312" i="1"/>
  <c r="I312" i="1"/>
  <c r="J320" i="1" s="1"/>
  <c r="F312" i="1"/>
  <c r="D312" i="1"/>
  <c r="AJ311" i="1"/>
  <c r="AI311" i="1"/>
  <c r="AG311" i="1"/>
  <c r="AE311" i="1"/>
  <c r="AC311" i="1"/>
  <c r="AB311" i="1"/>
  <c r="P311" i="1"/>
  <c r="O311" i="1"/>
  <c r="J311" i="1"/>
  <c r="I311" i="1"/>
  <c r="F311" i="1"/>
  <c r="D311" i="1"/>
  <c r="AK311" i="1" s="1"/>
  <c r="AK310" i="1"/>
  <c r="AJ310" i="1"/>
  <c r="AI310" i="1"/>
  <c r="AG310" i="1"/>
  <c r="AE310" i="1"/>
  <c r="AC310" i="1"/>
  <c r="AB310" i="1"/>
  <c r="I310" i="1"/>
  <c r="J318" i="1" s="1"/>
  <c r="F310" i="1"/>
  <c r="D310" i="1"/>
  <c r="AJ309" i="1"/>
  <c r="AI309" i="1"/>
  <c r="AG309" i="1"/>
  <c r="AE309" i="1"/>
  <c r="AC309" i="1"/>
  <c r="AB309" i="1"/>
  <c r="P309" i="1"/>
  <c r="O309" i="1"/>
  <c r="J309" i="1"/>
  <c r="I309" i="1"/>
  <c r="F309" i="1"/>
  <c r="D309" i="1"/>
  <c r="AK309" i="1" s="1"/>
  <c r="AK308" i="1"/>
  <c r="AJ308" i="1"/>
  <c r="AI308" i="1"/>
  <c r="AG308" i="1"/>
  <c r="AE308" i="1"/>
  <c r="AC308" i="1"/>
  <c r="AB308" i="1"/>
  <c r="P308" i="1"/>
  <c r="O308" i="1"/>
  <c r="I308" i="1"/>
  <c r="J316" i="1" s="1"/>
  <c r="F308" i="1"/>
  <c r="D308" i="1"/>
  <c r="AJ307" i="1"/>
  <c r="AI307" i="1"/>
  <c r="AG307" i="1"/>
  <c r="AE307" i="1"/>
  <c r="AC307" i="1"/>
  <c r="AB307" i="1"/>
  <c r="P307" i="1"/>
  <c r="O307" i="1"/>
  <c r="J307" i="1"/>
  <c r="I307" i="1"/>
  <c r="F307" i="1"/>
  <c r="D307" i="1"/>
  <c r="AK307" i="1" s="1"/>
  <c r="AK306" i="1"/>
  <c r="AJ306" i="1"/>
  <c r="AI306" i="1"/>
  <c r="AG306" i="1"/>
  <c r="AE306" i="1"/>
  <c r="AC306" i="1"/>
  <c r="AB306" i="1"/>
  <c r="P306" i="1"/>
  <c r="O306" i="1"/>
  <c r="I306" i="1"/>
  <c r="J314" i="1" s="1"/>
  <c r="F306" i="1"/>
  <c r="D306" i="1"/>
  <c r="AJ305" i="1"/>
  <c r="AI305" i="1"/>
  <c r="AG305" i="1"/>
  <c r="AE305" i="1"/>
  <c r="AC305" i="1"/>
  <c r="AB305" i="1"/>
  <c r="J305" i="1"/>
  <c r="I305" i="1"/>
  <c r="F305" i="1"/>
  <c r="D305" i="1"/>
  <c r="AK305" i="1" s="1"/>
  <c r="AK304" i="1"/>
  <c r="AJ304" i="1"/>
  <c r="AI304" i="1"/>
  <c r="AG304" i="1"/>
  <c r="AE304" i="1"/>
  <c r="AC304" i="1"/>
  <c r="AB304" i="1"/>
  <c r="P304" i="1"/>
  <c r="O304" i="1"/>
  <c r="I304" i="1"/>
  <c r="J312" i="1" s="1"/>
  <c r="F304" i="1"/>
  <c r="D304" i="1"/>
  <c r="AJ303" i="1"/>
  <c r="AI303" i="1"/>
  <c r="AG303" i="1"/>
  <c r="AE303" i="1"/>
  <c r="AC303" i="1"/>
  <c r="AB303" i="1"/>
  <c r="P303" i="1"/>
  <c r="O303" i="1"/>
  <c r="J303" i="1"/>
  <c r="I303" i="1"/>
  <c r="F303" i="1"/>
  <c r="D303" i="1"/>
  <c r="AK303" i="1" s="1"/>
  <c r="AK302" i="1"/>
  <c r="AJ302" i="1"/>
  <c r="AI302" i="1"/>
  <c r="AG302" i="1"/>
  <c r="AE302" i="1"/>
  <c r="AC302" i="1"/>
  <c r="AB302" i="1"/>
  <c r="P302" i="1"/>
  <c r="O302" i="1"/>
  <c r="I302" i="1"/>
  <c r="J310" i="1" s="1"/>
  <c r="F302" i="1"/>
  <c r="D302" i="1"/>
  <c r="AJ301" i="1"/>
  <c r="AI301" i="1"/>
  <c r="AG301" i="1"/>
  <c r="AE301" i="1"/>
  <c r="AC301" i="1"/>
  <c r="AB301" i="1"/>
  <c r="P301" i="1"/>
  <c r="O301" i="1"/>
  <c r="J301" i="1"/>
  <c r="I301" i="1"/>
  <c r="F301" i="1"/>
  <c r="D301" i="1"/>
  <c r="AK301" i="1" s="1"/>
  <c r="AK300" i="1"/>
  <c r="AJ300" i="1"/>
  <c r="AI300" i="1"/>
  <c r="AG300" i="1"/>
  <c r="AE300" i="1"/>
  <c r="AC300" i="1"/>
  <c r="AB300" i="1"/>
  <c r="P300" i="1"/>
  <c r="O300" i="1"/>
  <c r="I300" i="1"/>
  <c r="J308" i="1" s="1"/>
  <c r="F300" i="1"/>
  <c r="D300" i="1"/>
  <c r="AJ299" i="1"/>
  <c r="AI299" i="1"/>
  <c r="AG299" i="1"/>
  <c r="AE299" i="1"/>
  <c r="AC299" i="1"/>
  <c r="AB299" i="1"/>
  <c r="P299" i="1"/>
  <c r="O299" i="1"/>
  <c r="J299" i="1"/>
  <c r="I299" i="1"/>
  <c r="F299" i="1"/>
  <c r="D299" i="1"/>
  <c r="AK299" i="1" s="1"/>
  <c r="AK298" i="1"/>
  <c r="AJ298" i="1"/>
  <c r="AI298" i="1"/>
  <c r="AG298" i="1"/>
  <c r="AE298" i="1"/>
  <c r="AC298" i="1"/>
  <c r="AB298" i="1"/>
  <c r="P298" i="1"/>
  <c r="O298" i="1"/>
  <c r="I298" i="1"/>
  <c r="J306" i="1" s="1"/>
  <c r="F298" i="1"/>
  <c r="D298" i="1"/>
  <c r="AJ297" i="1"/>
  <c r="AI297" i="1"/>
  <c r="AG297" i="1"/>
  <c r="AE297" i="1"/>
  <c r="AC297" i="1"/>
  <c r="AB297" i="1"/>
  <c r="P297" i="1"/>
  <c r="O297" i="1"/>
  <c r="J297" i="1"/>
  <c r="I297" i="1"/>
  <c r="F297" i="1"/>
  <c r="D297" i="1"/>
  <c r="AK297" i="1" s="1"/>
  <c r="AK296" i="1"/>
  <c r="AJ296" i="1"/>
  <c r="AI296" i="1"/>
  <c r="AG296" i="1"/>
  <c r="AE296" i="1"/>
  <c r="AC296" i="1"/>
  <c r="AB296" i="1"/>
  <c r="P296" i="1"/>
  <c r="O296" i="1"/>
  <c r="I296" i="1"/>
  <c r="J304" i="1" s="1"/>
  <c r="F296" i="1"/>
  <c r="D296" i="1"/>
  <c r="AJ295" i="1"/>
  <c r="AI295" i="1"/>
  <c r="AG295" i="1"/>
  <c r="AE295" i="1"/>
  <c r="AC295" i="1"/>
  <c r="AB295" i="1"/>
  <c r="P295" i="1"/>
  <c r="O295" i="1"/>
  <c r="J295" i="1"/>
  <c r="I295" i="1"/>
  <c r="F295" i="1"/>
  <c r="D295" i="1"/>
  <c r="AK295" i="1" s="1"/>
  <c r="AK294" i="1"/>
  <c r="AJ294" i="1"/>
  <c r="AI294" i="1"/>
  <c r="AG294" i="1"/>
  <c r="AE294" i="1"/>
  <c r="AC294" i="1"/>
  <c r="AB294" i="1"/>
  <c r="P294" i="1"/>
  <c r="O294" i="1"/>
  <c r="I294" i="1"/>
  <c r="J302" i="1" s="1"/>
  <c r="F294" i="1"/>
  <c r="D294" i="1"/>
  <c r="AJ293" i="1"/>
  <c r="AI293" i="1"/>
  <c r="AG293" i="1"/>
  <c r="AE293" i="1"/>
  <c r="AC293" i="1"/>
  <c r="AB293" i="1"/>
  <c r="P293" i="1"/>
  <c r="O293" i="1"/>
  <c r="J293" i="1"/>
  <c r="I293" i="1"/>
  <c r="F293" i="1"/>
  <c r="D293" i="1"/>
  <c r="AK293" i="1" s="1"/>
  <c r="AK292" i="1"/>
  <c r="AJ292" i="1"/>
  <c r="AI292" i="1"/>
  <c r="AG292" i="1"/>
  <c r="AE292" i="1"/>
  <c r="AC292" i="1"/>
  <c r="AB292" i="1"/>
  <c r="P292" i="1"/>
  <c r="O292" i="1"/>
  <c r="I292" i="1"/>
  <c r="J300" i="1" s="1"/>
  <c r="F292" i="1"/>
  <c r="D292" i="1"/>
  <c r="AJ291" i="1"/>
  <c r="AI291" i="1"/>
  <c r="AG291" i="1"/>
  <c r="AE291" i="1"/>
  <c r="AC291" i="1"/>
  <c r="AB291" i="1"/>
  <c r="P291" i="1"/>
  <c r="O291" i="1"/>
  <c r="J291" i="1"/>
  <c r="I291" i="1"/>
  <c r="F291" i="1"/>
  <c r="D291" i="1"/>
  <c r="AK291" i="1" s="1"/>
  <c r="AK290" i="1"/>
  <c r="AJ290" i="1"/>
  <c r="AI290" i="1"/>
  <c r="AG290" i="1"/>
  <c r="AE290" i="1"/>
  <c r="AC290" i="1"/>
  <c r="AB290" i="1"/>
  <c r="P290" i="1"/>
  <c r="O290" i="1"/>
  <c r="I290" i="1"/>
  <c r="J298" i="1" s="1"/>
  <c r="F290" i="1"/>
  <c r="D290" i="1"/>
  <c r="AJ289" i="1"/>
  <c r="AI289" i="1"/>
  <c r="AG289" i="1"/>
  <c r="AE289" i="1"/>
  <c r="AC289" i="1"/>
  <c r="AB289" i="1"/>
  <c r="J289" i="1"/>
  <c r="I289" i="1"/>
  <c r="F289" i="1"/>
  <c r="D289" i="1"/>
  <c r="AK289" i="1" s="1"/>
  <c r="AK288" i="1"/>
  <c r="AJ288" i="1"/>
  <c r="AI288" i="1"/>
  <c r="AG288" i="1"/>
  <c r="AE288" i="1"/>
  <c r="AC288" i="1"/>
  <c r="AB288" i="1"/>
  <c r="P288" i="1"/>
  <c r="O288" i="1"/>
  <c r="I288" i="1"/>
  <c r="J296" i="1" s="1"/>
  <c r="F288" i="1"/>
  <c r="D288" i="1"/>
  <c r="AJ287" i="1"/>
  <c r="AI287" i="1"/>
  <c r="AG287" i="1"/>
  <c r="AE287" i="1"/>
  <c r="AC287" i="1"/>
  <c r="AB287" i="1"/>
  <c r="P287" i="1"/>
  <c r="O287" i="1"/>
  <c r="J287" i="1"/>
  <c r="I287" i="1"/>
  <c r="F287" i="1"/>
  <c r="D287" i="1"/>
  <c r="AK287" i="1" s="1"/>
  <c r="AK286" i="1"/>
  <c r="AJ286" i="1"/>
  <c r="AI286" i="1"/>
  <c r="AG286" i="1"/>
  <c r="AE286" i="1"/>
  <c r="AC286" i="1"/>
  <c r="AB286" i="1"/>
  <c r="P286" i="1"/>
  <c r="O286" i="1"/>
  <c r="I286" i="1"/>
  <c r="J294" i="1" s="1"/>
  <c r="F286" i="1"/>
  <c r="D286" i="1"/>
  <c r="AJ285" i="1"/>
  <c r="AI285" i="1"/>
  <c r="AG285" i="1"/>
  <c r="AE285" i="1"/>
  <c r="AC285" i="1"/>
  <c r="AB285" i="1"/>
  <c r="P285" i="1"/>
  <c r="O285" i="1"/>
  <c r="J285" i="1"/>
  <c r="I285" i="1"/>
  <c r="F285" i="1"/>
  <c r="D285" i="1"/>
  <c r="AK285" i="1" s="1"/>
  <c r="AK284" i="1"/>
  <c r="AJ284" i="1"/>
  <c r="AI284" i="1"/>
  <c r="AG284" i="1"/>
  <c r="AE284" i="1"/>
  <c r="AC284" i="1"/>
  <c r="AB284" i="1"/>
  <c r="I284" i="1"/>
  <c r="J292" i="1" s="1"/>
  <c r="F284" i="1"/>
  <c r="D284" i="1"/>
  <c r="AJ283" i="1"/>
  <c r="AI283" i="1"/>
  <c r="AG283" i="1"/>
  <c r="AE283" i="1"/>
  <c r="AC283" i="1"/>
  <c r="AB283" i="1"/>
  <c r="P283" i="1"/>
  <c r="O283" i="1"/>
  <c r="J283" i="1"/>
  <c r="I283" i="1"/>
  <c r="F283" i="1"/>
  <c r="D283" i="1"/>
  <c r="AK283" i="1" s="1"/>
  <c r="AK282" i="1"/>
  <c r="AJ282" i="1"/>
  <c r="AI282" i="1"/>
  <c r="AG282" i="1"/>
  <c r="AE282" i="1"/>
  <c r="AC282" i="1"/>
  <c r="AB282" i="1"/>
  <c r="I282" i="1"/>
  <c r="J290" i="1" s="1"/>
  <c r="F282" i="1"/>
  <c r="D282" i="1"/>
  <c r="AJ281" i="1"/>
  <c r="AI281" i="1"/>
  <c r="AG281" i="1"/>
  <c r="AE281" i="1"/>
  <c r="AC281" i="1"/>
  <c r="AB281" i="1"/>
  <c r="P281" i="1"/>
  <c r="O281" i="1"/>
  <c r="J281" i="1"/>
  <c r="I281" i="1"/>
  <c r="F281" i="1"/>
  <c r="D281" i="1"/>
  <c r="AK281" i="1" s="1"/>
  <c r="AK280" i="1"/>
  <c r="AJ280" i="1"/>
  <c r="AI280" i="1"/>
  <c r="AG280" i="1"/>
  <c r="AE280" i="1"/>
  <c r="AC280" i="1"/>
  <c r="AB280" i="1"/>
  <c r="P280" i="1"/>
  <c r="O280" i="1"/>
  <c r="I280" i="1"/>
  <c r="J288" i="1" s="1"/>
  <c r="F280" i="1"/>
  <c r="D280" i="1"/>
  <c r="AJ279" i="1"/>
  <c r="AI279" i="1"/>
  <c r="AG279" i="1"/>
  <c r="AE279" i="1"/>
  <c r="AC279" i="1"/>
  <c r="AB279" i="1"/>
  <c r="P279" i="1"/>
  <c r="O279" i="1"/>
  <c r="J279" i="1"/>
  <c r="I279" i="1"/>
  <c r="F279" i="1"/>
  <c r="D279" i="1"/>
  <c r="AK279" i="1" s="1"/>
  <c r="AK278" i="1"/>
  <c r="AJ278" i="1"/>
  <c r="AI278" i="1"/>
  <c r="AG278" i="1"/>
  <c r="AE278" i="1"/>
  <c r="AC278" i="1"/>
  <c r="AB278" i="1"/>
  <c r="P278" i="1"/>
  <c r="O278" i="1"/>
  <c r="I278" i="1"/>
  <c r="J286" i="1" s="1"/>
  <c r="F278" i="1"/>
  <c r="D278" i="1"/>
  <c r="AJ277" i="1"/>
  <c r="AI277" i="1"/>
  <c r="AG277" i="1"/>
  <c r="AE277" i="1"/>
  <c r="AC277" i="1"/>
  <c r="AB277" i="1"/>
  <c r="P277" i="1"/>
  <c r="O277" i="1"/>
  <c r="J277" i="1"/>
  <c r="I277" i="1"/>
  <c r="F277" i="1"/>
  <c r="D277" i="1"/>
  <c r="AK277" i="1" s="1"/>
  <c r="AK276" i="1"/>
  <c r="AJ276" i="1"/>
  <c r="AI276" i="1"/>
  <c r="AG276" i="1"/>
  <c r="AE276" i="1"/>
  <c r="AC276" i="1"/>
  <c r="AB276" i="1"/>
  <c r="P276" i="1"/>
  <c r="O276" i="1"/>
  <c r="I276" i="1"/>
  <c r="J284" i="1" s="1"/>
  <c r="F276" i="1"/>
  <c r="D276" i="1"/>
  <c r="AJ275" i="1"/>
  <c r="AI275" i="1"/>
  <c r="AG275" i="1"/>
  <c r="AE275" i="1"/>
  <c r="AC275" i="1"/>
  <c r="AB275" i="1"/>
  <c r="P275" i="1"/>
  <c r="O275" i="1"/>
  <c r="J275" i="1"/>
  <c r="I275" i="1"/>
  <c r="F275" i="1"/>
  <c r="D275" i="1"/>
  <c r="AK275" i="1" s="1"/>
  <c r="AK274" i="1"/>
  <c r="AJ274" i="1"/>
  <c r="AI274" i="1"/>
  <c r="AG274" i="1"/>
  <c r="AE274" i="1"/>
  <c r="AC274" i="1"/>
  <c r="AB274" i="1"/>
  <c r="P274" i="1"/>
  <c r="O274" i="1"/>
  <c r="I274" i="1"/>
  <c r="J282" i="1" s="1"/>
  <c r="F274" i="1"/>
  <c r="D274" i="1"/>
  <c r="AJ273" i="1"/>
  <c r="AI273" i="1"/>
  <c r="AG273" i="1"/>
  <c r="AE273" i="1"/>
  <c r="AC273" i="1"/>
  <c r="AB273" i="1"/>
  <c r="P273" i="1"/>
  <c r="O273" i="1"/>
  <c r="J273" i="1"/>
  <c r="I273" i="1"/>
  <c r="F273" i="1"/>
  <c r="D273" i="1"/>
  <c r="AK273" i="1" s="1"/>
  <c r="AK272" i="1"/>
  <c r="AJ272" i="1"/>
  <c r="AI272" i="1"/>
  <c r="AG272" i="1"/>
  <c r="AE272" i="1"/>
  <c r="AC272" i="1"/>
  <c r="AB272" i="1"/>
  <c r="P272" i="1"/>
  <c r="O272" i="1"/>
  <c r="I272" i="1"/>
  <c r="J280" i="1" s="1"/>
  <c r="F272" i="1"/>
  <c r="D272" i="1"/>
  <c r="AJ271" i="1"/>
  <c r="AI271" i="1"/>
  <c r="AG271" i="1"/>
  <c r="AE271" i="1"/>
  <c r="AC271" i="1"/>
  <c r="AB271" i="1"/>
  <c r="P271" i="1"/>
  <c r="O271" i="1"/>
  <c r="J271" i="1"/>
  <c r="I271" i="1"/>
  <c r="F271" i="1"/>
  <c r="D271" i="1"/>
  <c r="AK271" i="1" s="1"/>
  <c r="AK270" i="1"/>
  <c r="AJ270" i="1"/>
  <c r="AI270" i="1"/>
  <c r="AG270" i="1"/>
  <c r="AE270" i="1"/>
  <c r="AC270" i="1"/>
  <c r="AB270" i="1"/>
  <c r="P270" i="1"/>
  <c r="O270" i="1"/>
  <c r="I270" i="1"/>
  <c r="J278" i="1" s="1"/>
  <c r="F270" i="1"/>
  <c r="D270" i="1"/>
  <c r="AJ269" i="1"/>
  <c r="AI269" i="1"/>
  <c r="AG269" i="1"/>
  <c r="AE269" i="1"/>
  <c r="AC269" i="1"/>
  <c r="AB269" i="1"/>
  <c r="J269" i="1"/>
  <c r="I269" i="1"/>
  <c r="F269" i="1"/>
  <c r="D269" i="1"/>
  <c r="AK269" i="1" s="1"/>
  <c r="AK268" i="1"/>
  <c r="AJ268" i="1"/>
  <c r="AI268" i="1"/>
  <c r="AG268" i="1"/>
  <c r="AE268" i="1"/>
  <c r="AC268" i="1"/>
  <c r="AB268" i="1"/>
  <c r="P268" i="1"/>
  <c r="O268" i="1"/>
  <c r="I268" i="1"/>
  <c r="J276" i="1" s="1"/>
  <c r="F268" i="1"/>
  <c r="D268" i="1"/>
  <c r="AJ267" i="1"/>
  <c r="AI267" i="1"/>
  <c r="AG267" i="1"/>
  <c r="AE267" i="1"/>
  <c r="AC267" i="1"/>
  <c r="AB267" i="1"/>
  <c r="J267" i="1"/>
  <c r="I267" i="1"/>
  <c r="F267" i="1"/>
  <c r="D267" i="1"/>
  <c r="AK267" i="1" s="1"/>
  <c r="AK266" i="1"/>
  <c r="AJ266" i="1"/>
  <c r="AI266" i="1"/>
  <c r="AG266" i="1"/>
  <c r="AE266" i="1"/>
  <c r="AC266" i="1"/>
  <c r="AB266" i="1"/>
  <c r="P266" i="1"/>
  <c r="O266" i="1"/>
  <c r="I266" i="1"/>
  <c r="J274" i="1" s="1"/>
  <c r="F266" i="1"/>
  <c r="D266" i="1"/>
  <c r="AJ265" i="1"/>
  <c r="AI265" i="1"/>
  <c r="AG265" i="1"/>
  <c r="AE265" i="1"/>
  <c r="AC265" i="1"/>
  <c r="AB265" i="1"/>
  <c r="P265" i="1"/>
  <c r="O265" i="1"/>
  <c r="J265" i="1"/>
  <c r="I265" i="1"/>
  <c r="F265" i="1"/>
  <c r="D265" i="1"/>
  <c r="AK265" i="1" s="1"/>
  <c r="AK264" i="1"/>
  <c r="AJ264" i="1"/>
  <c r="AI264" i="1"/>
  <c r="AG264" i="1"/>
  <c r="AE264" i="1"/>
  <c r="AC264" i="1"/>
  <c r="AB264" i="1"/>
  <c r="P264" i="1"/>
  <c r="O264" i="1"/>
  <c r="I264" i="1"/>
  <c r="J272" i="1" s="1"/>
  <c r="F264" i="1"/>
  <c r="D264" i="1"/>
  <c r="AJ263" i="1"/>
  <c r="AI263" i="1"/>
  <c r="AG263" i="1"/>
  <c r="AE263" i="1"/>
  <c r="AC263" i="1"/>
  <c r="AB263" i="1"/>
  <c r="J263" i="1"/>
  <c r="I263" i="1"/>
  <c r="F263" i="1"/>
  <c r="D263" i="1"/>
  <c r="AK263" i="1" s="1"/>
  <c r="AK262" i="1"/>
  <c r="AJ262" i="1"/>
  <c r="AI262" i="1"/>
  <c r="AG262" i="1"/>
  <c r="AE262" i="1"/>
  <c r="AC262" i="1"/>
  <c r="AB262" i="1"/>
  <c r="I262" i="1"/>
  <c r="J270" i="1" s="1"/>
  <c r="F262" i="1"/>
  <c r="D262" i="1"/>
  <c r="AJ261" i="1"/>
  <c r="AI261" i="1"/>
  <c r="AG261" i="1"/>
  <c r="AE261" i="1"/>
  <c r="AC261" i="1"/>
  <c r="AB261" i="1"/>
  <c r="P261" i="1"/>
  <c r="O261" i="1"/>
  <c r="J261" i="1"/>
  <c r="I261" i="1"/>
  <c r="F261" i="1"/>
  <c r="D261" i="1"/>
  <c r="AK261" i="1" s="1"/>
  <c r="AK260" i="1"/>
  <c r="AJ260" i="1"/>
  <c r="AI260" i="1"/>
  <c r="AG260" i="1"/>
  <c r="AE260" i="1"/>
  <c r="AC260" i="1"/>
  <c r="AB260" i="1"/>
  <c r="P260" i="1"/>
  <c r="O260" i="1"/>
  <c r="I260" i="1"/>
  <c r="J268" i="1" s="1"/>
  <c r="F260" i="1"/>
  <c r="D260" i="1"/>
  <c r="AJ259" i="1"/>
  <c r="AI259" i="1"/>
  <c r="AG259" i="1"/>
  <c r="AE259" i="1"/>
  <c r="AC259" i="1"/>
  <c r="AB259" i="1"/>
  <c r="P259" i="1"/>
  <c r="O259" i="1"/>
  <c r="J259" i="1"/>
  <c r="I259" i="1"/>
  <c r="F259" i="1"/>
  <c r="D259" i="1"/>
  <c r="AK259" i="1" s="1"/>
  <c r="AK258" i="1"/>
  <c r="AJ258" i="1"/>
  <c r="AI258" i="1"/>
  <c r="AG258" i="1"/>
  <c r="AE258" i="1"/>
  <c r="AC258" i="1"/>
  <c r="AB258" i="1"/>
  <c r="I258" i="1"/>
  <c r="J266" i="1" s="1"/>
  <c r="F258" i="1"/>
  <c r="D258" i="1"/>
  <c r="AJ257" i="1"/>
  <c r="AI257" i="1"/>
  <c r="AG257" i="1"/>
  <c r="AE257" i="1"/>
  <c r="AC257" i="1"/>
  <c r="AB257" i="1"/>
  <c r="J257" i="1"/>
  <c r="I257" i="1"/>
  <c r="F257" i="1"/>
  <c r="D257" i="1"/>
  <c r="AK257" i="1" s="1"/>
  <c r="AK256" i="1"/>
  <c r="AJ256" i="1"/>
  <c r="AI256" i="1"/>
  <c r="AG256" i="1"/>
  <c r="AE256" i="1"/>
  <c r="AC256" i="1"/>
  <c r="AB256" i="1"/>
  <c r="P256" i="1"/>
  <c r="O256" i="1"/>
  <c r="I256" i="1"/>
  <c r="J264" i="1" s="1"/>
  <c r="F256" i="1"/>
  <c r="D256" i="1"/>
  <c r="AJ255" i="1"/>
  <c r="AI255" i="1"/>
  <c r="AG255" i="1"/>
  <c r="AE255" i="1"/>
  <c r="AC255" i="1"/>
  <c r="AB255" i="1"/>
  <c r="P255" i="1"/>
  <c r="O255" i="1"/>
  <c r="J255" i="1"/>
  <c r="I255" i="1"/>
  <c r="F255" i="1"/>
  <c r="D255" i="1"/>
  <c r="AK255" i="1" s="1"/>
  <c r="AK254" i="1"/>
  <c r="AJ254" i="1"/>
  <c r="AI254" i="1"/>
  <c r="AG254" i="1"/>
  <c r="AE254" i="1"/>
  <c r="AC254" i="1"/>
  <c r="AB254" i="1"/>
  <c r="P254" i="1"/>
  <c r="O254" i="1"/>
  <c r="I254" i="1"/>
  <c r="J262" i="1" s="1"/>
  <c r="F254" i="1"/>
  <c r="D254" i="1"/>
  <c r="AJ253" i="1"/>
  <c r="AI253" i="1"/>
  <c r="AG253" i="1"/>
  <c r="AE253" i="1"/>
  <c r="AC253" i="1"/>
  <c r="AB253" i="1"/>
  <c r="P253" i="1"/>
  <c r="O253" i="1"/>
  <c r="J253" i="1"/>
  <c r="I253" i="1"/>
  <c r="F253" i="1"/>
  <c r="D253" i="1"/>
  <c r="AK253" i="1" s="1"/>
  <c r="AK252" i="1"/>
  <c r="AJ252" i="1"/>
  <c r="AI252" i="1"/>
  <c r="AG252" i="1"/>
  <c r="AE252" i="1"/>
  <c r="AC252" i="1"/>
  <c r="AB252" i="1"/>
  <c r="P252" i="1"/>
  <c r="O252" i="1"/>
  <c r="I252" i="1"/>
  <c r="J260" i="1" s="1"/>
  <c r="F252" i="1"/>
  <c r="D252" i="1"/>
  <c r="AJ251" i="1"/>
  <c r="AI251" i="1"/>
  <c r="AG251" i="1"/>
  <c r="AE251" i="1"/>
  <c r="AC251" i="1"/>
  <c r="AB251" i="1"/>
  <c r="P251" i="1"/>
  <c r="O251" i="1"/>
  <c r="J251" i="1"/>
  <c r="I251" i="1"/>
  <c r="F251" i="1"/>
  <c r="D251" i="1"/>
  <c r="AK251" i="1" s="1"/>
  <c r="AK250" i="1"/>
  <c r="AJ250" i="1"/>
  <c r="AI250" i="1"/>
  <c r="AG250" i="1"/>
  <c r="AE250" i="1"/>
  <c r="AC250" i="1"/>
  <c r="AB250" i="1"/>
  <c r="P250" i="1"/>
  <c r="O250" i="1"/>
  <c r="I250" i="1"/>
  <c r="J258" i="1" s="1"/>
  <c r="F250" i="1"/>
  <c r="D250" i="1"/>
  <c r="AJ249" i="1"/>
  <c r="AI249" i="1"/>
  <c r="AG249" i="1"/>
  <c r="AE249" i="1"/>
  <c r="AC249" i="1"/>
  <c r="AB249" i="1"/>
  <c r="J249" i="1"/>
  <c r="I249" i="1"/>
  <c r="F249" i="1"/>
  <c r="D249" i="1"/>
  <c r="AK249" i="1" s="1"/>
  <c r="AK248" i="1"/>
  <c r="AJ248" i="1"/>
  <c r="AI248" i="1"/>
  <c r="AG248" i="1"/>
  <c r="AE248" i="1"/>
  <c r="AC248" i="1"/>
  <c r="AB248" i="1"/>
  <c r="P248" i="1"/>
  <c r="O248" i="1"/>
  <c r="I248" i="1"/>
  <c r="J256" i="1" s="1"/>
  <c r="F248" i="1"/>
  <c r="D248" i="1"/>
  <c r="AJ247" i="1"/>
  <c r="AI247" i="1"/>
  <c r="AG247" i="1"/>
  <c r="AE247" i="1"/>
  <c r="AC247" i="1"/>
  <c r="AB247" i="1"/>
  <c r="P247" i="1"/>
  <c r="O247" i="1"/>
  <c r="J247" i="1"/>
  <c r="I247" i="1"/>
  <c r="F247" i="1"/>
  <c r="D247" i="1"/>
  <c r="AK247" i="1" s="1"/>
  <c r="AK246" i="1"/>
  <c r="AJ246" i="1"/>
  <c r="AI246" i="1"/>
  <c r="AG246" i="1"/>
  <c r="AE246" i="1"/>
  <c r="AC246" i="1"/>
  <c r="AB246" i="1"/>
  <c r="P246" i="1"/>
  <c r="O246" i="1"/>
  <c r="I246" i="1"/>
  <c r="J254" i="1" s="1"/>
  <c r="F246" i="1"/>
  <c r="D246" i="1"/>
  <c r="AJ245" i="1"/>
  <c r="AI245" i="1"/>
  <c r="AG245" i="1"/>
  <c r="AE245" i="1"/>
  <c r="AC245" i="1"/>
  <c r="AB245" i="1"/>
  <c r="P245" i="1"/>
  <c r="O245" i="1"/>
  <c r="J245" i="1"/>
  <c r="I245" i="1"/>
  <c r="F245" i="1"/>
  <c r="D245" i="1"/>
  <c r="AK245" i="1" s="1"/>
  <c r="AK244" i="1"/>
  <c r="AJ244" i="1"/>
  <c r="AI244" i="1"/>
  <c r="AG244" i="1"/>
  <c r="AE244" i="1"/>
  <c r="AC244" i="1"/>
  <c r="AB244" i="1"/>
  <c r="P244" i="1"/>
  <c r="O244" i="1"/>
  <c r="I244" i="1"/>
  <c r="J252" i="1" s="1"/>
  <c r="F244" i="1"/>
  <c r="D244" i="1"/>
  <c r="AJ243" i="1"/>
  <c r="AI243" i="1"/>
  <c r="AG243" i="1"/>
  <c r="AE243" i="1"/>
  <c r="AC243" i="1"/>
  <c r="AB243" i="1"/>
  <c r="J243" i="1"/>
  <c r="I243" i="1"/>
  <c r="F243" i="1"/>
  <c r="D243" i="1"/>
  <c r="AK243" i="1" s="1"/>
  <c r="AK242" i="1"/>
  <c r="AJ242" i="1"/>
  <c r="AI242" i="1"/>
  <c r="AG242" i="1"/>
  <c r="AE242" i="1"/>
  <c r="AC242" i="1"/>
  <c r="AB242" i="1"/>
  <c r="P242" i="1"/>
  <c r="O242" i="1"/>
  <c r="I242" i="1"/>
  <c r="J250" i="1" s="1"/>
  <c r="F242" i="1"/>
  <c r="D242" i="1"/>
  <c r="AJ241" i="1"/>
  <c r="AI241" i="1"/>
  <c r="AG241" i="1"/>
  <c r="AE241" i="1"/>
  <c r="AC241" i="1"/>
  <c r="AB241" i="1"/>
  <c r="P241" i="1"/>
  <c r="O241" i="1"/>
  <c r="J241" i="1"/>
  <c r="I241" i="1"/>
  <c r="F241" i="1"/>
  <c r="D241" i="1"/>
  <c r="AK241" i="1" s="1"/>
  <c r="AK240" i="1"/>
  <c r="AJ240" i="1"/>
  <c r="AI240" i="1"/>
  <c r="AG240" i="1"/>
  <c r="AE240" i="1"/>
  <c r="AC240" i="1"/>
  <c r="AB240" i="1"/>
  <c r="P240" i="1"/>
  <c r="O240" i="1"/>
  <c r="I240" i="1"/>
  <c r="J248" i="1" s="1"/>
  <c r="F240" i="1"/>
  <c r="D240" i="1"/>
  <c r="AJ239" i="1"/>
  <c r="AI239" i="1"/>
  <c r="AG239" i="1"/>
  <c r="AE239" i="1"/>
  <c r="AC239" i="1"/>
  <c r="AB239" i="1"/>
  <c r="P239" i="1"/>
  <c r="O239" i="1"/>
  <c r="J239" i="1"/>
  <c r="I239" i="1"/>
  <c r="F239" i="1"/>
  <c r="D239" i="1"/>
  <c r="AK239" i="1" s="1"/>
  <c r="AK238" i="1"/>
  <c r="AJ238" i="1"/>
  <c r="AI238" i="1"/>
  <c r="AG238" i="1"/>
  <c r="AE238" i="1"/>
  <c r="AC238" i="1"/>
  <c r="AB238" i="1"/>
  <c r="I238" i="1"/>
  <c r="J246" i="1" s="1"/>
  <c r="F238" i="1"/>
  <c r="D238" i="1"/>
  <c r="AJ237" i="1"/>
  <c r="AI237" i="1"/>
  <c r="AG237" i="1"/>
  <c r="AE237" i="1"/>
  <c r="AC237" i="1"/>
  <c r="AB237" i="1"/>
  <c r="J237" i="1"/>
  <c r="I237" i="1"/>
  <c r="F237" i="1"/>
  <c r="D237" i="1"/>
  <c r="AK237" i="1" s="1"/>
  <c r="AK236" i="1"/>
  <c r="AJ236" i="1"/>
  <c r="AC236" i="1"/>
  <c r="AB236" i="1"/>
  <c r="J236" i="1"/>
  <c r="I236" i="1"/>
  <c r="J244" i="1" s="1"/>
  <c r="F236" i="1"/>
  <c r="D236" i="1"/>
  <c r="AK235" i="1"/>
  <c r="AJ235" i="1"/>
  <c r="AC235" i="1"/>
  <c r="AB235" i="1"/>
  <c r="J235" i="1"/>
  <c r="I235" i="1"/>
  <c r="F235" i="1"/>
  <c r="D235" i="1"/>
  <c r="AK234" i="1"/>
  <c r="AJ234" i="1"/>
  <c r="AC234" i="1"/>
  <c r="AB234" i="1"/>
  <c r="J234" i="1"/>
  <c r="I234" i="1"/>
  <c r="J242" i="1" s="1"/>
  <c r="F234" i="1"/>
  <c r="D234" i="1"/>
  <c r="AK233" i="1"/>
  <c r="AJ233" i="1"/>
  <c r="AC233" i="1"/>
  <c r="AB233" i="1"/>
  <c r="P233" i="1"/>
  <c r="O233" i="1"/>
  <c r="J233" i="1"/>
  <c r="I233" i="1"/>
  <c r="F233" i="1"/>
  <c r="D233" i="1"/>
  <c r="AK232" i="1"/>
  <c r="AJ232" i="1"/>
  <c r="AC232" i="1"/>
  <c r="AB232" i="1"/>
  <c r="P232" i="1"/>
  <c r="O232" i="1"/>
  <c r="J232" i="1"/>
  <c r="I232" i="1"/>
  <c r="J240" i="1" s="1"/>
  <c r="F232" i="1"/>
  <c r="D232" i="1"/>
  <c r="AK231" i="1"/>
  <c r="AJ231" i="1"/>
  <c r="AC231" i="1"/>
  <c r="AB231" i="1"/>
  <c r="P231" i="1"/>
  <c r="O231" i="1"/>
  <c r="J231" i="1"/>
  <c r="I231" i="1"/>
  <c r="F231" i="1"/>
  <c r="D231" i="1"/>
  <c r="AK230" i="1"/>
  <c r="AJ230" i="1"/>
  <c r="AC230" i="1"/>
  <c r="AB230" i="1"/>
  <c r="P230" i="1"/>
  <c r="O230" i="1"/>
  <c r="J230" i="1"/>
  <c r="I230" i="1"/>
  <c r="J238" i="1" s="1"/>
  <c r="F230" i="1"/>
  <c r="D230" i="1"/>
  <c r="AK229" i="1"/>
  <c r="AJ229" i="1"/>
  <c r="AC229" i="1"/>
  <c r="AB229" i="1"/>
  <c r="P229" i="1"/>
  <c r="O229" i="1"/>
  <c r="J229" i="1"/>
  <c r="I229" i="1"/>
  <c r="F229" i="1"/>
  <c r="D229" i="1"/>
  <c r="AK228" i="1"/>
  <c r="AJ228" i="1"/>
  <c r="AC228" i="1"/>
  <c r="AB228" i="1"/>
  <c r="P228" i="1"/>
  <c r="O228" i="1"/>
  <c r="J228" i="1"/>
  <c r="I228" i="1"/>
  <c r="F228" i="1"/>
  <c r="D228" i="1"/>
  <c r="AK227" i="1"/>
  <c r="AJ227" i="1"/>
  <c r="AC227" i="1"/>
  <c r="AB227" i="1"/>
  <c r="P227" i="1"/>
  <c r="O227" i="1"/>
  <c r="J227" i="1"/>
  <c r="I227" i="1"/>
  <c r="F227" i="1"/>
  <c r="D227" i="1"/>
  <c r="AK226" i="1"/>
  <c r="AJ226" i="1"/>
  <c r="AC226" i="1"/>
  <c r="AB226" i="1"/>
  <c r="P226" i="1"/>
  <c r="O226" i="1"/>
  <c r="J226" i="1"/>
  <c r="I226" i="1"/>
  <c r="F226" i="1"/>
  <c r="D226" i="1"/>
  <c r="AK225" i="1"/>
  <c r="AJ225" i="1"/>
  <c r="AC225" i="1"/>
  <c r="AB225" i="1"/>
  <c r="P225" i="1"/>
  <c r="O225" i="1"/>
  <c r="J225" i="1"/>
  <c r="I225" i="1"/>
  <c r="F225" i="1"/>
  <c r="D225" i="1"/>
  <c r="AK224" i="1"/>
  <c r="AJ224" i="1"/>
  <c r="AC224" i="1"/>
  <c r="AB224" i="1"/>
  <c r="P224" i="1"/>
  <c r="O224" i="1"/>
  <c r="J224" i="1"/>
  <c r="I224" i="1"/>
  <c r="F224" i="1"/>
  <c r="D224" i="1"/>
  <c r="AK223" i="1"/>
  <c r="AJ223" i="1"/>
  <c r="AC223" i="1"/>
  <c r="AB223" i="1"/>
  <c r="P223" i="1"/>
  <c r="O223" i="1"/>
  <c r="J223" i="1"/>
  <c r="I223" i="1"/>
  <c r="F223" i="1"/>
  <c r="D223" i="1"/>
  <c r="AK222" i="1"/>
  <c r="AJ222" i="1"/>
  <c r="AC222" i="1"/>
  <c r="AB222" i="1"/>
  <c r="P222" i="1"/>
  <c r="O222" i="1"/>
  <c r="J222" i="1"/>
  <c r="I222" i="1"/>
  <c r="F222" i="1"/>
  <c r="D222" i="1"/>
  <c r="AK221" i="1"/>
  <c r="AJ221" i="1"/>
  <c r="AC221" i="1"/>
  <c r="AB221" i="1"/>
  <c r="P221" i="1"/>
  <c r="O221" i="1"/>
  <c r="J221" i="1"/>
  <c r="I221" i="1"/>
  <c r="F221" i="1"/>
  <c r="D221" i="1"/>
  <c r="AK220" i="1"/>
  <c r="AJ220" i="1"/>
  <c r="AC220" i="1"/>
  <c r="AB220" i="1"/>
  <c r="P220" i="1"/>
  <c r="O220" i="1"/>
  <c r="J220" i="1"/>
  <c r="I220" i="1"/>
  <c r="F220" i="1"/>
  <c r="D220" i="1"/>
  <c r="AK219" i="1"/>
  <c r="AJ219" i="1"/>
  <c r="AC219" i="1"/>
  <c r="AB219" i="1"/>
  <c r="P219" i="1"/>
  <c r="O219" i="1"/>
  <c r="J219" i="1"/>
  <c r="I219" i="1"/>
  <c r="F219" i="1"/>
  <c r="D219" i="1"/>
  <c r="AK218" i="1"/>
  <c r="AJ218" i="1"/>
  <c r="AC218" i="1"/>
  <c r="AB218" i="1"/>
  <c r="P218" i="1"/>
  <c r="O218" i="1"/>
  <c r="J218" i="1"/>
  <c r="I218" i="1"/>
  <c r="F218" i="1"/>
  <c r="D218" i="1"/>
  <c r="AK217" i="1"/>
  <c r="AJ217" i="1"/>
  <c r="AC217" i="1"/>
  <c r="AB217" i="1"/>
  <c r="P217" i="1"/>
  <c r="O217" i="1"/>
  <c r="J217" i="1"/>
  <c r="I217" i="1"/>
  <c r="F217" i="1"/>
  <c r="D217" i="1"/>
  <c r="AK216" i="1"/>
  <c r="AJ216" i="1"/>
  <c r="AC216" i="1"/>
  <c r="AB216" i="1"/>
  <c r="P216" i="1"/>
  <c r="O216" i="1"/>
  <c r="J216" i="1"/>
  <c r="I216" i="1"/>
  <c r="F216" i="1"/>
  <c r="D216" i="1"/>
  <c r="AK215" i="1"/>
  <c r="AJ215" i="1"/>
  <c r="AC215" i="1"/>
  <c r="AB215" i="1"/>
  <c r="P215" i="1"/>
  <c r="O215" i="1"/>
  <c r="J215" i="1"/>
  <c r="I215" i="1"/>
  <c r="F215" i="1"/>
  <c r="D215" i="1"/>
  <c r="AK214" i="1"/>
  <c r="AJ214" i="1"/>
  <c r="AC214" i="1"/>
  <c r="AB214" i="1"/>
  <c r="P214" i="1"/>
  <c r="O214" i="1"/>
  <c r="J214" i="1"/>
  <c r="I214" i="1"/>
  <c r="F214" i="1"/>
  <c r="D214" i="1"/>
  <c r="AK213" i="1"/>
  <c r="AJ213" i="1"/>
  <c r="AC213" i="1"/>
  <c r="AB213" i="1"/>
  <c r="P213" i="1"/>
  <c r="O213" i="1"/>
  <c r="J213" i="1"/>
  <c r="I213" i="1"/>
  <c r="F213" i="1"/>
  <c r="D213" i="1"/>
  <c r="AK212" i="1"/>
  <c r="AJ212" i="1"/>
  <c r="AC212" i="1"/>
  <c r="AB212" i="1"/>
  <c r="P212" i="1"/>
  <c r="O212" i="1"/>
  <c r="J212" i="1"/>
  <c r="I212" i="1"/>
  <c r="F212" i="1"/>
  <c r="D212" i="1"/>
  <c r="AK211" i="1"/>
  <c r="AJ211" i="1"/>
  <c r="AC211" i="1"/>
  <c r="AB211" i="1"/>
  <c r="P211" i="1"/>
  <c r="O211" i="1"/>
  <c r="J211" i="1"/>
  <c r="I211" i="1"/>
  <c r="F211" i="1"/>
  <c r="D211" i="1"/>
  <c r="AK210" i="1"/>
  <c r="AJ210" i="1"/>
  <c r="AC210" i="1"/>
  <c r="AB210" i="1"/>
  <c r="P210" i="1"/>
  <c r="O210" i="1"/>
  <c r="J210" i="1"/>
  <c r="I210" i="1"/>
  <c r="F210" i="1"/>
  <c r="D210" i="1"/>
  <c r="AK209" i="1"/>
  <c r="AJ209" i="1"/>
  <c r="AC209" i="1"/>
  <c r="AB209" i="1"/>
  <c r="P209" i="1"/>
  <c r="O209" i="1"/>
  <c r="J209" i="1"/>
  <c r="I209" i="1"/>
  <c r="F209" i="1"/>
  <c r="D209" i="1"/>
  <c r="AK208" i="1"/>
  <c r="AJ208" i="1"/>
  <c r="AC208" i="1"/>
  <c r="AB208" i="1"/>
  <c r="P208" i="1"/>
  <c r="O208" i="1"/>
  <c r="J208" i="1"/>
  <c r="I208" i="1"/>
  <c r="F208" i="1"/>
  <c r="D208" i="1"/>
  <c r="AK207" i="1"/>
  <c r="AJ207" i="1"/>
  <c r="AC207" i="1"/>
  <c r="AB207" i="1"/>
  <c r="P207" i="1"/>
  <c r="O207" i="1"/>
  <c r="J207" i="1"/>
  <c r="I207" i="1"/>
  <c r="F207" i="1"/>
  <c r="D207" i="1"/>
  <c r="AK206" i="1"/>
  <c r="AJ206" i="1"/>
  <c r="AC206" i="1"/>
  <c r="AB206" i="1"/>
  <c r="P206" i="1"/>
  <c r="O206" i="1"/>
  <c r="J206" i="1"/>
  <c r="I206" i="1"/>
  <c r="F206" i="1"/>
  <c r="D206" i="1"/>
  <c r="AK205" i="1"/>
  <c r="AJ205" i="1"/>
  <c r="AC205" i="1"/>
  <c r="AB205" i="1"/>
  <c r="P205" i="1"/>
  <c r="O205" i="1"/>
  <c r="J205" i="1"/>
  <c r="I205" i="1"/>
  <c r="F205" i="1"/>
  <c r="D205" i="1"/>
  <c r="AK204" i="1"/>
  <c r="AJ204" i="1"/>
  <c r="AC204" i="1"/>
  <c r="AB204" i="1"/>
  <c r="P204" i="1"/>
  <c r="O204" i="1"/>
  <c r="J204" i="1"/>
  <c r="I204" i="1"/>
  <c r="F204" i="1"/>
  <c r="D204" i="1"/>
  <c r="AK203" i="1"/>
  <c r="AJ203" i="1"/>
  <c r="AC203" i="1"/>
  <c r="AB203" i="1"/>
  <c r="P203" i="1"/>
  <c r="O203" i="1"/>
  <c r="J203" i="1"/>
  <c r="I203" i="1"/>
  <c r="F203" i="1"/>
  <c r="D203" i="1"/>
  <c r="AK202" i="1"/>
  <c r="AJ202" i="1"/>
  <c r="AC202" i="1"/>
  <c r="AB202" i="1"/>
  <c r="P202" i="1"/>
  <c r="O202" i="1"/>
  <c r="J202" i="1"/>
  <c r="I202" i="1"/>
  <c r="F202" i="1"/>
  <c r="D202" i="1"/>
  <c r="AK201" i="1"/>
  <c r="AJ201" i="1"/>
  <c r="AC201" i="1"/>
  <c r="AB201" i="1"/>
  <c r="P201" i="1"/>
  <c r="O201" i="1"/>
  <c r="J201" i="1"/>
  <c r="I201" i="1"/>
  <c r="F201" i="1"/>
  <c r="D201" i="1"/>
  <c r="AK200" i="1"/>
  <c r="AJ200" i="1"/>
  <c r="AC200" i="1"/>
  <c r="AB200" i="1"/>
  <c r="P200" i="1"/>
  <c r="O200" i="1"/>
  <c r="J200" i="1"/>
  <c r="I200" i="1"/>
  <c r="F200" i="1"/>
  <c r="D200" i="1"/>
  <c r="AK199" i="1"/>
  <c r="AJ199" i="1"/>
  <c r="AC199" i="1"/>
  <c r="AB199" i="1"/>
  <c r="P199" i="1"/>
  <c r="O199" i="1"/>
  <c r="J199" i="1"/>
  <c r="I199" i="1"/>
  <c r="F199" i="1"/>
  <c r="D199" i="1"/>
  <c r="AK198" i="1"/>
  <c r="AJ198" i="1"/>
  <c r="AC198" i="1"/>
  <c r="AB198" i="1"/>
  <c r="P198" i="1"/>
  <c r="O198" i="1"/>
  <c r="J198" i="1"/>
  <c r="I198" i="1"/>
  <c r="F198" i="1"/>
  <c r="D198" i="1"/>
  <c r="AK197" i="1"/>
  <c r="AJ197" i="1"/>
  <c r="AC197" i="1"/>
  <c r="AB197" i="1"/>
  <c r="P197" i="1"/>
  <c r="O197" i="1"/>
  <c r="J197" i="1"/>
  <c r="I197" i="1"/>
  <c r="F197" i="1"/>
  <c r="D197" i="1"/>
  <c r="AK196" i="1"/>
  <c r="AJ196" i="1"/>
  <c r="AC196" i="1"/>
  <c r="AB196" i="1"/>
  <c r="P196" i="1"/>
  <c r="O196" i="1"/>
  <c r="J196" i="1"/>
  <c r="I196" i="1"/>
  <c r="F196" i="1"/>
  <c r="D196" i="1"/>
  <c r="AK195" i="1"/>
  <c r="AJ195" i="1"/>
  <c r="AC195" i="1"/>
  <c r="AB195" i="1"/>
  <c r="P195" i="1"/>
  <c r="O195" i="1"/>
  <c r="J195" i="1"/>
  <c r="I195" i="1"/>
  <c r="F195" i="1"/>
  <c r="D195" i="1"/>
  <c r="AK194" i="1"/>
  <c r="AJ194" i="1"/>
  <c r="AC194" i="1"/>
  <c r="AB194" i="1"/>
  <c r="P194" i="1"/>
  <c r="O194" i="1"/>
  <c r="J194" i="1"/>
  <c r="I194" i="1"/>
  <c r="F194" i="1"/>
  <c r="D194" i="1"/>
  <c r="AK193" i="1"/>
  <c r="AJ193" i="1"/>
  <c r="AC193" i="1"/>
  <c r="AB193" i="1"/>
  <c r="P193" i="1"/>
  <c r="O193" i="1"/>
  <c r="J193" i="1"/>
  <c r="I193" i="1"/>
  <c r="F193" i="1"/>
  <c r="D193" i="1"/>
  <c r="AK192" i="1"/>
  <c r="AJ192" i="1"/>
  <c r="AC192" i="1"/>
  <c r="AB192" i="1"/>
  <c r="P192" i="1"/>
  <c r="O192" i="1"/>
  <c r="J192" i="1"/>
  <c r="I192" i="1"/>
  <c r="F192" i="1"/>
  <c r="D192" i="1"/>
  <c r="AK191" i="1"/>
  <c r="AJ191" i="1"/>
  <c r="AC191" i="1"/>
  <c r="AB191" i="1"/>
  <c r="P191" i="1"/>
  <c r="O191" i="1"/>
  <c r="J191" i="1"/>
  <c r="I191" i="1"/>
  <c r="F191" i="1"/>
  <c r="D191" i="1"/>
  <c r="AK190" i="1"/>
  <c r="AJ190" i="1"/>
  <c r="AC190" i="1"/>
  <c r="AB190" i="1"/>
  <c r="P190" i="1"/>
  <c r="O190" i="1"/>
  <c r="J190" i="1"/>
  <c r="I190" i="1"/>
  <c r="F190" i="1"/>
  <c r="D190" i="1"/>
  <c r="AK189" i="1"/>
  <c r="AJ189" i="1"/>
  <c r="AC189" i="1"/>
  <c r="AB189" i="1"/>
  <c r="P189" i="1"/>
  <c r="O189" i="1"/>
  <c r="J189" i="1"/>
  <c r="I189" i="1"/>
  <c r="F189" i="1"/>
  <c r="D189" i="1"/>
  <c r="AK188" i="1"/>
  <c r="AJ188" i="1"/>
  <c r="AC188" i="1"/>
  <c r="AB188" i="1"/>
  <c r="P188" i="1"/>
  <c r="O188" i="1"/>
  <c r="J188" i="1"/>
  <c r="I188" i="1"/>
  <c r="F188" i="1"/>
  <c r="D188" i="1"/>
  <c r="AK187" i="1"/>
  <c r="AJ187" i="1"/>
  <c r="AC187" i="1"/>
  <c r="AB187" i="1"/>
  <c r="P187" i="1"/>
  <c r="O187" i="1"/>
  <c r="J187" i="1"/>
  <c r="I187" i="1"/>
  <c r="F187" i="1"/>
  <c r="D187" i="1"/>
  <c r="AK186" i="1"/>
  <c r="AJ186" i="1"/>
  <c r="AC186" i="1"/>
  <c r="AB186" i="1"/>
  <c r="P186" i="1"/>
  <c r="O186" i="1"/>
  <c r="J186" i="1"/>
  <c r="I186" i="1"/>
  <c r="F186" i="1"/>
  <c r="D186" i="1"/>
  <c r="AK185" i="1"/>
  <c r="AJ185" i="1"/>
  <c r="AC185" i="1"/>
  <c r="AB185" i="1"/>
  <c r="P185" i="1"/>
  <c r="O185" i="1"/>
  <c r="J185" i="1"/>
  <c r="I185" i="1"/>
  <c r="F185" i="1"/>
  <c r="D185" i="1"/>
  <c r="AK184" i="1"/>
  <c r="AJ184" i="1"/>
  <c r="AC184" i="1"/>
  <c r="AB184" i="1"/>
  <c r="P184" i="1"/>
  <c r="O184" i="1"/>
  <c r="J184" i="1"/>
  <c r="I184" i="1"/>
  <c r="F184" i="1"/>
  <c r="D184" i="1"/>
  <c r="AK183" i="1"/>
  <c r="AJ183" i="1"/>
  <c r="AC183" i="1"/>
  <c r="AB183" i="1"/>
  <c r="P183" i="1"/>
  <c r="O183" i="1"/>
  <c r="J183" i="1"/>
  <c r="I183" i="1"/>
  <c r="F183" i="1"/>
  <c r="D183" i="1"/>
  <c r="AK182" i="1"/>
  <c r="AJ182" i="1"/>
  <c r="AC182" i="1"/>
  <c r="AB182" i="1"/>
  <c r="P182" i="1"/>
  <c r="O182" i="1"/>
  <c r="J182" i="1"/>
  <c r="I182" i="1"/>
  <c r="F182" i="1"/>
  <c r="D182" i="1"/>
  <c r="AK181" i="1"/>
  <c r="AJ181" i="1"/>
  <c r="AC181" i="1"/>
  <c r="AB181" i="1"/>
  <c r="P181" i="1"/>
  <c r="O181" i="1"/>
  <c r="J181" i="1"/>
  <c r="I181" i="1"/>
  <c r="F181" i="1"/>
  <c r="D181" i="1"/>
  <c r="AK180" i="1"/>
  <c r="AJ180" i="1"/>
  <c r="AC180" i="1"/>
  <c r="AB180" i="1"/>
  <c r="P180" i="1"/>
  <c r="O180" i="1"/>
  <c r="J180" i="1"/>
  <c r="I180" i="1"/>
  <c r="F180" i="1"/>
  <c r="D180" i="1"/>
  <c r="AK179" i="1"/>
  <c r="AJ179" i="1"/>
  <c r="AC179" i="1"/>
  <c r="AB179" i="1"/>
  <c r="P179" i="1"/>
  <c r="O179" i="1"/>
  <c r="J179" i="1"/>
  <c r="I179" i="1"/>
  <c r="F179" i="1"/>
  <c r="D179" i="1"/>
  <c r="AK178" i="1"/>
  <c r="AJ178" i="1"/>
  <c r="AC178" i="1"/>
  <c r="AB178" i="1"/>
  <c r="P178" i="1"/>
  <c r="O178" i="1"/>
  <c r="J178" i="1"/>
  <c r="I178" i="1"/>
  <c r="F178" i="1"/>
  <c r="D178" i="1"/>
  <c r="AK177" i="1"/>
  <c r="AJ177" i="1"/>
  <c r="AC177" i="1"/>
  <c r="AB177" i="1"/>
  <c r="P177" i="1"/>
  <c r="O177" i="1"/>
  <c r="J177" i="1"/>
  <c r="I177" i="1"/>
  <c r="F177" i="1"/>
  <c r="D177" i="1"/>
  <c r="AK176" i="1"/>
  <c r="AJ176" i="1"/>
  <c r="AC176" i="1"/>
  <c r="AB176" i="1"/>
  <c r="P176" i="1"/>
  <c r="O176" i="1"/>
  <c r="J176" i="1"/>
  <c r="I176" i="1"/>
  <c r="F176" i="1"/>
  <c r="D176" i="1"/>
  <c r="AK175" i="1"/>
  <c r="AJ175" i="1"/>
  <c r="AC175" i="1"/>
  <c r="AB175" i="1"/>
  <c r="P175" i="1"/>
  <c r="O175" i="1"/>
  <c r="J175" i="1"/>
  <c r="I175" i="1"/>
  <c r="F175" i="1"/>
  <c r="D175" i="1"/>
  <c r="AK174" i="1"/>
  <c r="AJ174" i="1"/>
  <c r="AC174" i="1"/>
  <c r="AB174" i="1"/>
  <c r="P174" i="1"/>
  <c r="O174" i="1"/>
  <c r="J174" i="1"/>
  <c r="I174" i="1"/>
  <c r="F174" i="1"/>
  <c r="D174" i="1"/>
  <c r="AK173" i="1"/>
  <c r="AJ173" i="1"/>
  <c r="AC173" i="1"/>
  <c r="AB173" i="1"/>
  <c r="P173" i="1"/>
  <c r="O173" i="1"/>
  <c r="J173" i="1"/>
  <c r="I173" i="1"/>
  <c r="F173" i="1"/>
  <c r="D173" i="1"/>
  <c r="AK172" i="1"/>
  <c r="AJ172" i="1"/>
  <c r="AC172" i="1"/>
  <c r="AB172" i="1"/>
  <c r="P172" i="1"/>
  <c r="O172" i="1"/>
  <c r="J172" i="1"/>
  <c r="I172" i="1"/>
  <c r="F172" i="1"/>
  <c r="D172" i="1"/>
  <c r="AK171" i="1"/>
  <c r="AJ171" i="1"/>
  <c r="AC171" i="1"/>
  <c r="AB171" i="1"/>
  <c r="P171" i="1"/>
  <c r="O171" i="1"/>
  <c r="J171" i="1"/>
  <c r="I171" i="1"/>
  <c r="F171" i="1"/>
  <c r="D171" i="1"/>
  <c r="AK170" i="1"/>
  <c r="AJ170" i="1"/>
  <c r="AC170" i="1"/>
  <c r="AB170" i="1"/>
  <c r="P170" i="1"/>
  <c r="O170" i="1"/>
  <c r="J170" i="1"/>
  <c r="I170" i="1"/>
  <c r="F170" i="1"/>
  <c r="D170" i="1"/>
  <c r="AK169" i="1"/>
  <c r="AJ169" i="1"/>
  <c r="AC169" i="1"/>
  <c r="AB169" i="1"/>
  <c r="P169" i="1"/>
  <c r="O169" i="1"/>
  <c r="J169" i="1"/>
  <c r="I169" i="1"/>
  <c r="F169" i="1"/>
  <c r="D169" i="1"/>
  <c r="AK168" i="1"/>
  <c r="AJ168" i="1"/>
  <c r="AC168" i="1"/>
  <c r="AB168" i="1"/>
  <c r="P168" i="1"/>
  <c r="O168" i="1"/>
  <c r="J168" i="1"/>
  <c r="I168" i="1"/>
  <c r="F168" i="1"/>
  <c r="D168" i="1"/>
  <c r="AK167" i="1"/>
  <c r="AJ167" i="1"/>
  <c r="AC167" i="1"/>
  <c r="AB167" i="1"/>
  <c r="P167" i="1"/>
  <c r="O167" i="1"/>
  <c r="J167" i="1"/>
  <c r="I167" i="1"/>
  <c r="F167" i="1"/>
  <c r="D167" i="1"/>
  <c r="AK166" i="1"/>
  <c r="AJ166" i="1"/>
  <c r="AC166" i="1"/>
  <c r="AB166" i="1"/>
  <c r="P166" i="1"/>
  <c r="O166" i="1"/>
  <c r="J166" i="1"/>
  <c r="I166" i="1"/>
  <c r="F166" i="1"/>
  <c r="D166" i="1"/>
  <c r="AK165" i="1"/>
  <c r="AJ165" i="1"/>
  <c r="AC165" i="1"/>
  <c r="AB165" i="1"/>
  <c r="P165" i="1"/>
  <c r="O165" i="1"/>
  <c r="J165" i="1"/>
  <c r="I165" i="1"/>
  <c r="F165" i="1"/>
  <c r="D165" i="1"/>
  <c r="AK164" i="1"/>
  <c r="AJ164" i="1"/>
  <c r="AC164" i="1"/>
  <c r="AB164" i="1"/>
  <c r="P164" i="1"/>
  <c r="O164" i="1"/>
  <c r="J164" i="1"/>
  <c r="I164" i="1"/>
  <c r="F164" i="1"/>
  <c r="D164" i="1"/>
  <c r="AK163" i="1"/>
  <c r="AJ163" i="1"/>
  <c r="AC163" i="1"/>
  <c r="AB163" i="1"/>
  <c r="P163" i="1"/>
  <c r="O163" i="1"/>
  <c r="J163" i="1"/>
  <c r="I163" i="1"/>
  <c r="F163" i="1"/>
  <c r="D163" i="1"/>
  <c r="AK162" i="1"/>
  <c r="AJ162" i="1"/>
  <c r="AC162" i="1"/>
  <c r="AB162" i="1"/>
  <c r="P162" i="1"/>
  <c r="O162" i="1"/>
  <c r="J162" i="1"/>
  <c r="I162" i="1"/>
  <c r="F162" i="1"/>
  <c r="D162" i="1"/>
  <c r="AK161" i="1"/>
  <c r="AJ161" i="1"/>
  <c r="AC161" i="1"/>
  <c r="AB161" i="1"/>
  <c r="P161" i="1"/>
  <c r="O161" i="1"/>
  <c r="J161" i="1"/>
  <c r="I161" i="1"/>
  <c r="F161" i="1"/>
  <c r="D161" i="1"/>
  <c r="AK160" i="1"/>
  <c r="AJ160" i="1"/>
  <c r="AC160" i="1"/>
  <c r="AB160" i="1"/>
  <c r="P160" i="1"/>
  <c r="O160" i="1"/>
  <c r="J160" i="1"/>
  <c r="I160" i="1"/>
  <c r="F160" i="1"/>
  <c r="D160" i="1"/>
  <c r="AK159" i="1"/>
  <c r="AJ159" i="1"/>
  <c r="AC159" i="1"/>
  <c r="AB159" i="1"/>
  <c r="P159" i="1"/>
  <c r="O159" i="1"/>
  <c r="J159" i="1"/>
  <c r="I159" i="1"/>
  <c r="F159" i="1"/>
  <c r="D159" i="1"/>
  <c r="AK158" i="1"/>
  <c r="AJ158" i="1"/>
  <c r="AC158" i="1"/>
  <c r="AB158" i="1"/>
  <c r="P158" i="1"/>
  <c r="O158" i="1"/>
  <c r="J158" i="1"/>
  <c r="I158" i="1"/>
  <c r="F158" i="1"/>
  <c r="D158" i="1"/>
  <c r="AK157" i="1"/>
  <c r="AJ157" i="1"/>
  <c r="AC157" i="1"/>
  <c r="AB157" i="1"/>
  <c r="P157" i="1"/>
  <c r="O157" i="1"/>
  <c r="J157" i="1"/>
  <c r="I157" i="1"/>
  <c r="F157" i="1"/>
  <c r="D157" i="1"/>
  <c r="AK156" i="1"/>
  <c r="AJ156" i="1"/>
  <c r="AC156" i="1"/>
  <c r="AB156" i="1"/>
  <c r="P156" i="1"/>
  <c r="O156" i="1"/>
  <c r="J156" i="1"/>
  <c r="I156" i="1"/>
  <c r="F156" i="1"/>
  <c r="D156" i="1"/>
  <c r="AK155" i="1"/>
  <c r="AJ155" i="1"/>
  <c r="AC155" i="1"/>
  <c r="AB155" i="1"/>
  <c r="P155" i="1"/>
  <c r="O155" i="1"/>
  <c r="J155" i="1"/>
  <c r="I155" i="1"/>
  <c r="F155" i="1"/>
  <c r="D155" i="1"/>
  <c r="AK154" i="1"/>
  <c r="AJ154" i="1"/>
  <c r="AC154" i="1"/>
  <c r="AB154" i="1"/>
  <c r="P154" i="1"/>
  <c r="O154" i="1"/>
  <c r="J154" i="1"/>
  <c r="I154" i="1"/>
  <c r="F154" i="1"/>
  <c r="D154" i="1"/>
  <c r="AK153" i="1"/>
  <c r="AJ153" i="1"/>
  <c r="AC153" i="1"/>
  <c r="AB153" i="1"/>
  <c r="P153" i="1"/>
  <c r="O153" i="1"/>
  <c r="J153" i="1"/>
  <c r="I153" i="1"/>
  <c r="F153" i="1"/>
  <c r="D153" i="1"/>
  <c r="AK152" i="1"/>
  <c r="AJ152" i="1"/>
  <c r="AC152" i="1"/>
  <c r="AB152" i="1"/>
  <c r="P152" i="1"/>
  <c r="O152" i="1"/>
  <c r="J152" i="1"/>
  <c r="I152" i="1"/>
  <c r="F152" i="1"/>
  <c r="D152" i="1"/>
  <c r="AK151" i="1"/>
  <c r="AJ151" i="1"/>
  <c r="AC151" i="1"/>
  <c r="AB151" i="1"/>
  <c r="P151" i="1"/>
  <c r="O151" i="1"/>
  <c r="J151" i="1"/>
  <c r="I151" i="1"/>
  <c r="F151" i="1"/>
  <c r="D151" i="1"/>
  <c r="AK150" i="1"/>
  <c r="AJ150" i="1"/>
  <c r="AC150" i="1"/>
  <c r="AB150" i="1"/>
  <c r="P150" i="1"/>
  <c r="O150" i="1"/>
  <c r="J150" i="1"/>
  <c r="I150" i="1"/>
  <c r="F150" i="1"/>
  <c r="D150" i="1"/>
  <c r="AK149" i="1"/>
  <c r="AJ149" i="1"/>
  <c r="AC149" i="1"/>
  <c r="AB149" i="1"/>
  <c r="P149" i="1"/>
  <c r="O149" i="1"/>
  <c r="J149" i="1"/>
  <c r="I149" i="1"/>
  <c r="F149" i="1"/>
  <c r="D149" i="1"/>
  <c r="AK148" i="1"/>
  <c r="AJ148" i="1"/>
  <c r="AC148" i="1"/>
  <c r="AB148" i="1"/>
  <c r="P148" i="1"/>
  <c r="O148" i="1"/>
  <c r="J148" i="1"/>
  <c r="I148" i="1"/>
  <c r="F148" i="1"/>
  <c r="D148" i="1"/>
  <c r="AK147" i="1"/>
  <c r="AJ147" i="1"/>
  <c r="AC147" i="1"/>
  <c r="AB147" i="1"/>
  <c r="Q147" i="1"/>
  <c r="P147" i="1"/>
  <c r="O147" i="1"/>
  <c r="I147" i="1"/>
  <c r="F147" i="1"/>
  <c r="D147" i="1"/>
  <c r="AJ146" i="1"/>
  <c r="AC146" i="1"/>
  <c r="AB146" i="1"/>
  <c r="P146" i="1"/>
  <c r="O146" i="1"/>
  <c r="I146" i="1"/>
  <c r="F146" i="1"/>
  <c r="D146" i="1"/>
  <c r="AK146" i="1" s="1"/>
  <c r="AJ145" i="1"/>
  <c r="AC145" i="1"/>
  <c r="AB145" i="1"/>
  <c r="P145" i="1"/>
  <c r="O145" i="1"/>
  <c r="I145" i="1"/>
  <c r="F145" i="1"/>
  <c r="D145" i="1"/>
  <c r="AK145" i="1" s="1"/>
  <c r="AJ144" i="1"/>
  <c r="AC144" i="1"/>
  <c r="AB144" i="1"/>
  <c r="P144" i="1"/>
  <c r="O144" i="1"/>
  <c r="I144" i="1"/>
  <c r="F144" i="1"/>
  <c r="D144" i="1"/>
  <c r="AK144" i="1" s="1"/>
  <c r="AJ143" i="1"/>
  <c r="AC143" i="1"/>
  <c r="AB143" i="1"/>
  <c r="P143" i="1"/>
  <c r="O143" i="1"/>
  <c r="I143" i="1"/>
  <c r="F143" i="1"/>
  <c r="D143" i="1"/>
  <c r="AK143" i="1" s="1"/>
  <c r="AJ142" i="1"/>
  <c r="AC142" i="1"/>
  <c r="AB142" i="1"/>
  <c r="P142" i="1"/>
  <c r="O142" i="1"/>
  <c r="I142" i="1"/>
  <c r="F142" i="1"/>
  <c r="D142" i="1"/>
  <c r="AK142" i="1" s="1"/>
  <c r="AJ141" i="1"/>
  <c r="AC141" i="1"/>
  <c r="AB141" i="1"/>
  <c r="P141" i="1"/>
  <c r="O141" i="1"/>
  <c r="I141" i="1"/>
  <c r="F141" i="1"/>
  <c r="D141" i="1"/>
  <c r="AK141" i="1" s="1"/>
  <c r="AJ140" i="1"/>
  <c r="AC140" i="1"/>
  <c r="AB140" i="1"/>
  <c r="P140" i="1"/>
  <c r="O140" i="1"/>
  <c r="I140" i="1"/>
  <c r="F140" i="1"/>
  <c r="D140" i="1"/>
  <c r="AK140" i="1" s="1"/>
  <c r="AJ139" i="1"/>
  <c r="AC139" i="1"/>
  <c r="AB139" i="1"/>
  <c r="P139" i="1"/>
  <c r="O139" i="1"/>
  <c r="I139" i="1"/>
  <c r="J147" i="1" s="1"/>
  <c r="F139" i="1"/>
  <c r="D139" i="1"/>
  <c r="AK139" i="1" s="1"/>
  <c r="AJ138" i="1"/>
  <c r="AC138" i="1"/>
  <c r="AB138" i="1"/>
  <c r="P138" i="1"/>
  <c r="O138" i="1"/>
  <c r="I138" i="1"/>
  <c r="J146" i="1" s="1"/>
  <c r="F138" i="1"/>
  <c r="D138" i="1"/>
  <c r="AK138" i="1" s="1"/>
  <c r="AJ137" i="1"/>
  <c r="AC137" i="1"/>
  <c r="AB137" i="1"/>
  <c r="P137" i="1"/>
  <c r="O137" i="1"/>
  <c r="I137" i="1"/>
  <c r="J145" i="1" s="1"/>
  <c r="F137" i="1"/>
  <c r="D137" i="1"/>
  <c r="AK137" i="1" s="1"/>
  <c r="AJ136" i="1"/>
  <c r="AC136" i="1"/>
  <c r="AB136" i="1"/>
  <c r="P136" i="1"/>
  <c r="O136" i="1"/>
  <c r="I136" i="1"/>
  <c r="J144" i="1" s="1"/>
  <c r="F136" i="1"/>
  <c r="D136" i="1"/>
  <c r="AK136" i="1" s="1"/>
  <c r="AJ135" i="1"/>
  <c r="AC135" i="1"/>
  <c r="AB135" i="1"/>
  <c r="P135" i="1"/>
  <c r="O135" i="1"/>
  <c r="I135" i="1"/>
  <c r="J143" i="1" s="1"/>
  <c r="F135" i="1"/>
  <c r="D135" i="1"/>
  <c r="AK135" i="1" s="1"/>
  <c r="AJ134" i="1"/>
  <c r="AC134" i="1"/>
  <c r="AB134" i="1"/>
  <c r="P134" i="1"/>
  <c r="O134" i="1"/>
  <c r="I134" i="1"/>
  <c r="J142" i="1" s="1"/>
  <c r="F134" i="1"/>
  <c r="D134" i="1"/>
  <c r="AK134" i="1" s="1"/>
  <c r="AJ133" i="1"/>
  <c r="AC133" i="1"/>
  <c r="AB133" i="1"/>
  <c r="P133" i="1"/>
  <c r="O133" i="1"/>
  <c r="I133" i="1"/>
  <c r="J141" i="1" s="1"/>
  <c r="F133" i="1"/>
  <c r="D133" i="1"/>
  <c r="AK133" i="1" s="1"/>
  <c r="AJ132" i="1"/>
  <c r="AC132" i="1"/>
  <c r="AB132" i="1"/>
  <c r="P132" i="1"/>
  <c r="O132" i="1"/>
  <c r="I132" i="1"/>
  <c r="J140" i="1" s="1"/>
  <c r="F132" i="1"/>
  <c r="D132" i="1"/>
  <c r="AK132" i="1" s="1"/>
  <c r="AJ131" i="1"/>
  <c r="AC131" i="1"/>
  <c r="AB131" i="1"/>
  <c r="P131" i="1"/>
  <c r="O131" i="1"/>
  <c r="I131" i="1"/>
  <c r="J139" i="1" s="1"/>
  <c r="F131" i="1"/>
  <c r="D131" i="1"/>
  <c r="AK131" i="1" s="1"/>
  <c r="AJ130" i="1"/>
  <c r="AC130" i="1"/>
  <c r="AB130" i="1"/>
  <c r="P130" i="1"/>
  <c r="O130" i="1"/>
  <c r="I130" i="1"/>
  <c r="J138" i="1" s="1"/>
  <c r="F130" i="1"/>
  <c r="D130" i="1"/>
  <c r="AK130" i="1" s="1"/>
  <c r="AJ129" i="1"/>
  <c r="AC129" i="1"/>
  <c r="AB129" i="1"/>
  <c r="P129" i="1"/>
  <c r="O129" i="1"/>
  <c r="I129" i="1"/>
  <c r="J137" i="1" s="1"/>
  <c r="F129" i="1"/>
  <c r="D129" i="1"/>
  <c r="AK129" i="1" s="1"/>
  <c r="AJ128" i="1"/>
  <c r="AC128" i="1"/>
  <c r="AB128" i="1"/>
  <c r="P128" i="1"/>
  <c r="O128" i="1"/>
  <c r="I128" i="1"/>
  <c r="J136" i="1" s="1"/>
  <c r="F128" i="1"/>
  <c r="D128" i="1"/>
  <c r="AK128" i="1" s="1"/>
  <c r="AJ127" i="1"/>
  <c r="AC127" i="1"/>
  <c r="AB127" i="1"/>
  <c r="P127" i="1"/>
  <c r="O127" i="1"/>
  <c r="I127" i="1"/>
  <c r="J135" i="1" s="1"/>
  <c r="F127" i="1"/>
  <c r="D127" i="1"/>
  <c r="AK127" i="1" s="1"/>
  <c r="AJ126" i="1"/>
  <c r="AC126" i="1"/>
  <c r="AB126" i="1"/>
  <c r="P126" i="1"/>
  <c r="O126" i="1"/>
  <c r="I126" i="1"/>
  <c r="J134" i="1" s="1"/>
  <c r="F126" i="1"/>
  <c r="D126" i="1"/>
  <c r="AK126" i="1" s="1"/>
  <c r="AJ125" i="1"/>
  <c r="AC125" i="1"/>
  <c r="AB125" i="1"/>
  <c r="P125" i="1"/>
  <c r="O125" i="1"/>
  <c r="I125" i="1"/>
  <c r="J133" i="1" s="1"/>
  <c r="F125" i="1"/>
  <c r="D125" i="1"/>
  <c r="AK125" i="1" s="1"/>
  <c r="AJ124" i="1"/>
  <c r="AC124" i="1"/>
  <c r="AB124" i="1"/>
  <c r="P124" i="1"/>
  <c r="O124" i="1"/>
  <c r="I124" i="1"/>
  <c r="J132" i="1" s="1"/>
  <c r="F124" i="1"/>
  <c r="D124" i="1"/>
  <c r="AK124" i="1" s="1"/>
  <c r="AJ123" i="1"/>
  <c r="AC123" i="1"/>
  <c r="AB123" i="1"/>
  <c r="P123" i="1"/>
  <c r="O123" i="1"/>
  <c r="I123" i="1"/>
  <c r="J131" i="1" s="1"/>
  <c r="F123" i="1"/>
  <c r="D123" i="1"/>
  <c r="AK123" i="1" s="1"/>
  <c r="AJ122" i="1"/>
  <c r="AC122" i="1"/>
  <c r="AB122" i="1"/>
  <c r="P122" i="1"/>
  <c r="O122" i="1"/>
  <c r="I122" i="1"/>
  <c r="J130" i="1" s="1"/>
  <c r="F122" i="1"/>
  <c r="D122" i="1"/>
  <c r="AK122" i="1" s="1"/>
  <c r="AJ121" i="1"/>
  <c r="AC121" i="1"/>
  <c r="AB121" i="1"/>
  <c r="P121" i="1"/>
  <c r="O121" i="1"/>
  <c r="I121" i="1"/>
  <c r="J129" i="1" s="1"/>
  <c r="F121" i="1"/>
  <c r="D121" i="1"/>
  <c r="AK121" i="1" s="1"/>
  <c r="AJ120" i="1"/>
  <c r="AC120" i="1"/>
  <c r="AB120" i="1"/>
  <c r="P120" i="1"/>
  <c r="O120" i="1"/>
  <c r="I120" i="1"/>
  <c r="J128" i="1" s="1"/>
  <c r="F120" i="1"/>
  <c r="D120" i="1"/>
  <c r="AK120" i="1" s="1"/>
  <c r="AJ119" i="1"/>
  <c r="AC119" i="1"/>
  <c r="AB119" i="1"/>
  <c r="P119" i="1"/>
  <c r="O119" i="1"/>
  <c r="I119" i="1"/>
  <c r="J127" i="1" s="1"/>
  <c r="F119" i="1"/>
  <c r="D119" i="1"/>
  <c r="AK119" i="1" s="1"/>
  <c r="AJ118" i="1"/>
  <c r="AC118" i="1"/>
  <c r="AB118" i="1"/>
  <c r="P118" i="1"/>
  <c r="O118" i="1"/>
  <c r="I118" i="1"/>
  <c r="J126" i="1" s="1"/>
  <c r="F118" i="1"/>
  <c r="D118" i="1"/>
  <c r="AK118" i="1" s="1"/>
  <c r="AJ117" i="1"/>
  <c r="AC117" i="1"/>
  <c r="AB117" i="1"/>
  <c r="P117" i="1"/>
  <c r="O117" i="1"/>
  <c r="I117" i="1"/>
  <c r="J125" i="1" s="1"/>
  <c r="F117" i="1"/>
  <c r="D117" i="1"/>
  <c r="AK117" i="1" s="1"/>
  <c r="AJ116" i="1"/>
  <c r="AC116" i="1"/>
  <c r="AB116" i="1"/>
  <c r="P116" i="1"/>
  <c r="O116" i="1"/>
  <c r="I116" i="1"/>
  <c r="J124" i="1" s="1"/>
  <c r="F116" i="1"/>
  <c r="D116" i="1"/>
  <c r="AK116" i="1" s="1"/>
  <c r="AJ115" i="1"/>
  <c r="AC115" i="1"/>
  <c r="AB115" i="1"/>
  <c r="P115" i="1"/>
  <c r="O115" i="1"/>
  <c r="I115" i="1"/>
  <c r="J123" i="1" s="1"/>
  <c r="F115" i="1"/>
  <c r="D115" i="1"/>
  <c r="AK115" i="1" s="1"/>
  <c r="AJ114" i="1"/>
  <c r="AC114" i="1"/>
  <c r="AB114" i="1"/>
  <c r="P114" i="1"/>
  <c r="O114" i="1"/>
  <c r="I114" i="1"/>
  <c r="J122" i="1" s="1"/>
  <c r="F114" i="1"/>
  <c r="D114" i="1"/>
  <c r="AK114" i="1" s="1"/>
  <c r="AJ113" i="1"/>
  <c r="AC113" i="1"/>
  <c r="AB113" i="1"/>
  <c r="P113" i="1"/>
  <c r="O113" i="1"/>
  <c r="I113" i="1"/>
  <c r="J121" i="1" s="1"/>
  <c r="F113" i="1"/>
  <c r="D113" i="1"/>
  <c r="AK113" i="1" s="1"/>
  <c r="AJ112" i="1"/>
  <c r="AC112" i="1"/>
  <c r="AB112" i="1"/>
  <c r="P112" i="1"/>
  <c r="O112" i="1"/>
  <c r="I112" i="1"/>
  <c r="J120" i="1" s="1"/>
  <c r="F112" i="1"/>
  <c r="D112" i="1"/>
  <c r="AK112" i="1" s="1"/>
  <c r="AJ111" i="1"/>
  <c r="AC111" i="1"/>
  <c r="AB111" i="1"/>
  <c r="P111" i="1"/>
  <c r="O111" i="1"/>
  <c r="I111" i="1"/>
  <c r="J119" i="1" s="1"/>
  <c r="F111" i="1"/>
  <c r="D111" i="1"/>
  <c r="AK111" i="1" s="1"/>
  <c r="AJ110" i="1"/>
  <c r="AC110" i="1"/>
  <c r="AB110" i="1"/>
  <c r="P110" i="1"/>
  <c r="O110" i="1"/>
  <c r="I110" i="1"/>
  <c r="J118" i="1" s="1"/>
  <c r="F110" i="1"/>
  <c r="D110" i="1"/>
  <c r="AK110" i="1" s="1"/>
  <c r="AJ109" i="1"/>
  <c r="AC109" i="1"/>
  <c r="AB109" i="1"/>
  <c r="P109" i="1"/>
  <c r="O109" i="1"/>
  <c r="I109" i="1"/>
  <c r="J117" i="1" s="1"/>
  <c r="F109" i="1"/>
  <c r="D109" i="1"/>
  <c r="AK109" i="1" s="1"/>
  <c r="AJ108" i="1"/>
  <c r="AC108" i="1"/>
  <c r="AB108" i="1"/>
  <c r="P108" i="1"/>
  <c r="O108" i="1"/>
  <c r="I108" i="1"/>
  <c r="J116" i="1" s="1"/>
  <c r="F108" i="1"/>
  <c r="D108" i="1"/>
  <c r="AK108" i="1" s="1"/>
  <c r="AJ107" i="1"/>
  <c r="AC107" i="1"/>
  <c r="AB107" i="1"/>
  <c r="P107" i="1"/>
  <c r="O107" i="1"/>
  <c r="I107" i="1"/>
  <c r="J115" i="1" s="1"/>
  <c r="F107" i="1"/>
  <c r="D107" i="1"/>
  <c r="AK107" i="1" s="1"/>
  <c r="AJ106" i="1"/>
  <c r="AC106" i="1"/>
  <c r="AB106" i="1"/>
  <c r="P106" i="1"/>
  <c r="O106" i="1"/>
  <c r="I106" i="1"/>
  <c r="J114" i="1" s="1"/>
  <c r="F106" i="1"/>
  <c r="D106" i="1"/>
  <c r="AK106" i="1" s="1"/>
  <c r="AJ105" i="1"/>
  <c r="AC105" i="1"/>
  <c r="AB105" i="1"/>
  <c r="P105" i="1"/>
  <c r="O105" i="1"/>
  <c r="I105" i="1"/>
  <c r="J113" i="1" s="1"/>
  <c r="F105" i="1"/>
  <c r="D105" i="1"/>
  <c r="AK105" i="1" s="1"/>
  <c r="AJ104" i="1"/>
  <c r="AC104" i="1"/>
  <c r="P104" i="1"/>
  <c r="O104" i="1"/>
  <c r="I104" i="1"/>
  <c r="J112" i="1" s="1"/>
  <c r="F104" i="1"/>
  <c r="D104" i="1"/>
  <c r="AK104" i="1" s="1"/>
  <c r="AJ103" i="1"/>
  <c r="AC103" i="1"/>
  <c r="P103" i="1"/>
  <c r="O103" i="1"/>
  <c r="I103" i="1"/>
  <c r="J111" i="1" s="1"/>
  <c r="F103" i="1"/>
  <c r="D103" i="1"/>
  <c r="AK103" i="1" s="1"/>
  <c r="AJ102" i="1"/>
  <c r="AC102" i="1"/>
  <c r="P102" i="1"/>
  <c r="O102" i="1"/>
  <c r="I102" i="1"/>
  <c r="J110" i="1" s="1"/>
  <c r="F102" i="1"/>
  <c r="D102" i="1"/>
  <c r="AK102" i="1" s="1"/>
  <c r="AJ101" i="1"/>
  <c r="AC101" i="1"/>
  <c r="P101" i="1"/>
  <c r="O101" i="1"/>
  <c r="I101" i="1"/>
  <c r="J109" i="1" s="1"/>
  <c r="F101" i="1"/>
  <c r="D101" i="1"/>
  <c r="AK101" i="1" s="1"/>
  <c r="AJ100" i="1"/>
  <c r="AC100" i="1"/>
  <c r="P100" i="1"/>
  <c r="O100" i="1"/>
  <c r="I100" i="1"/>
  <c r="J108" i="1" s="1"/>
  <c r="F100" i="1"/>
  <c r="D100" i="1"/>
  <c r="AK100" i="1" s="1"/>
  <c r="AJ99" i="1"/>
  <c r="AC99" i="1"/>
  <c r="P99" i="1"/>
  <c r="O99" i="1"/>
  <c r="I99" i="1"/>
  <c r="J107" i="1" s="1"/>
  <c r="F99" i="1"/>
  <c r="D99" i="1"/>
  <c r="AK99" i="1" s="1"/>
  <c r="AJ98" i="1"/>
  <c r="AC98" i="1"/>
  <c r="P98" i="1"/>
  <c r="O98" i="1"/>
  <c r="I98" i="1"/>
  <c r="J106" i="1" s="1"/>
  <c r="F98" i="1"/>
  <c r="D98" i="1"/>
  <c r="AK98" i="1" s="1"/>
  <c r="AJ97" i="1"/>
  <c r="AC97" i="1"/>
  <c r="P97" i="1"/>
  <c r="O97" i="1"/>
  <c r="I97" i="1"/>
  <c r="J105" i="1" s="1"/>
  <c r="F97" i="1"/>
  <c r="D97" i="1"/>
  <c r="AK97" i="1" s="1"/>
  <c r="AJ96" i="1"/>
  <c r="AC96" i="1"/>
  <c r="P96" i="1"/>
  <c r="O96" i="1"/>
  <c r="I96" i="1"/>
  <c r="F96" i="1"/>
  <c r="D96" i="1"/>
  <c r="AK96" i="1" s="1"/>
  <c r="AJ95" i="1"/>
  <c r="AC95" i="1"/>
  <c r="P95" i="1"/>
  <c r="O95" i="1"/>
  <c r="I95" i="1"/>
  <c r="J103" i="1" s="1"/>
  <c r="F95" i="1"/>
  <c r="D95" i="1"/>
  <c r="AK95" i="1" s="1"/>
  <c r="AJ94" i="1"/>
  <c r="AC94" i="1"/>
  <c r="P94" i="1"/>
  <c r="O94" i="1"/>
  <c r="I94" i="1"/>
  <c r="F94" i="1"/>
  <c r="D94" i="1"/>
  <c r="AK94" i="1" s="1"/>
  <c r="AJ93" i="1"/>
  <c r="AC93" i="1"/>
  <c r="P93" i="1"/>
  <c r="O93" i="1"/>
  <c r="I93" i="1"/>
  <c r="J101" i="1" s="1"/>
  <c r="F93" i="1"/>
  <c r="D93" i="1"/>
  <c r="AK93" i="1" s="1"/>
  <c r="AJ92" i="1"/>
  <c r="AC92" i="1"/>
  <c r="P92" i="1"/>
  <c r="O92" i="1"/>
  <c r="I92" i="1"/>
  <c r="F92" i="1"/>
  <c r="D92" i="1"/>
  <c r="AK92" i="1" s="1"/>
  <c r="AJ91" i="1"/>
  <c r="AC91" i="1"/>
  <c r="P91" i="1"/>
  <c r="O91" i="1"/>
  <c r="I91" i="1"/>
  <c r="J99" i="1" s="1"/>
  <c r="F91" i="1"/>
  <c r="D91" i="1"/>
  <c r="AK91" i="1" s="1"/>
  <c r="AJ90" i="1"/>
  <c r="AC90" i="1"/>
  <c r="P90" i="1"/>
  <c r="O90" i="1"/>
  <c r="I90" i="1"/>
  <c r="F90" i="1"/>
  <c r="D90" i="1"/>
  <c r="AK90" i="1" s="1"/>
  <c r="AJ89" i="1"/>
  <c r="AC89" i="1"/>
  <c r="P89" i="1"/>
  <c r="O89" i="1"/>
  <c r="I89" i="1"/>
  <c r="J97" i="1" s="1"/>
  <c r="F89" i="1"/>
  <c r="D89" i="1"/>
  <c r="AK89" i="1" s="1"/>
  <c r="AJ88" i="1"/>
  <c r="AC88" i="1"/>
  <c r="P88" i="1"/>
  <c r="O88" i="1"/>
  <c r="I88" i="1"/>
  <c r="F88" i="1"/>
  <c r="D88" i="1"/>
  <c r="AK88" i="1" s="1"/>
  <c r="AJ87" i="1"/>
  <c r="AC87" i="1"/>
  <c r="P87" i="1"/>
  <c r="O87" i="1"/>
  <c r="I87" i="1"/>
  <c r="J95" i="1" s="1"/>
  <c r="F87" i="1"/>
  <c r="D87" i="1"/>
  <c r="AK87" i="1" s="1"/>
  <c r="AJ86" i="1"/>
  <c r="AC86" i="1"/>
  <c r="I86" i="1"/>
  <c r="F86" i="1"/>
  <c r="D86" i="1"/>
  <c r="AK86" i="1" s="1"/>
  <c r="AJ85" i="1"/>
  <c r="AC85" i="1"/>
  <c r="P85" i="1"/>
  <c r="O85" i="1"/>
  <c r="I85" i="1"/>
  <c r="J93" i="1" s="1"/>
  <c r="F85" i="1"/>
  <c r="D85" i="1"/>
  <c r="AK85" i="1" s="1"/>
  <c r="AJ84" i="1"/>
  <c r="AC84" i="1"/>
  <c r="P84" i="1"/>
  <c r="O84" i="1"/>
  <c r="I84" i="1"/>
  <c r="F84" i="1"/>
  <c r="D84" i="1"/>
  <c r="AK84" i="1" s="1"/>
  <c r="AJ83" i="1"/>
  <c r="AC83" i="1"/>
  <c r="I83" i="1"/>
  <c r="J91" i="1" s="1"/>
  <c r="F83" i="1"/>
  <c r="D83" i="1"/>
  <c r="AK83" i="1" s="1"/>
  <c r="AJ82" i="1"/>
  <c r="AC82" i="1"/>
  <c r="P82" i="1"/>
  <c r="O82" i="1"/>
  <c r="I82" i="1"/>
  <c r="F82" i="1"/>
  <c r="D82" i="1"/>
  <c r="AK82" i="1" s="1"/>
  <c r="AJ81" i="1"/>
  <c r="AC81" i="1"/>
  <c r="P81" i="1"/>
  <c r="O81" i="1"/>
  <c r="I81" i="1"/>
  <c r="J89" i="1" s="1"/>
  <c r="F81" i="1"/>
  <c r="D81" i="1"/>
  <c r="AK81" i="1" s="1"/>
  <c r="AJ80" i="1"/>
  <c r="AC80" i="1"/>
  <c r="P80" i="1"/>
  <c r="O80" i="1"/>
  <c r="I80" i="1"/>
  <c r="F80" i="1"/>
  <c r="D80" i="1"/>
  <c r="AK80" i="1" s="1"/>
  <c r="AJ79" i="1"/>
  <c r="AC79" i="1"/>
  <c r="P79" i="1"/>
  <c r="O79" i="1"/>
  <c r="I79" i="1"/>
  <c r="J87" i="1" s="1"/>
  <c r="F79" i="1"/>
  <c r="D79" i="1"/>
  <c r="AK79" i="1" s="1"/>
  <c r="AJ78" i="1"/>
  <c r="AC78" i="1"/>
  <c r="P78" i="1"/>
  <c r="O78" i="1"/>
  <c r="I78" i="1"/>
  <c r="F78" i="1"/>
  <c r="D78" i="1"/>
  <c r="AK78" i="1" s="1"/>
  <c r="AJ77" i="1"/>
  <c r="AC77" i="1"/>
  <c r="P77" i="1"/>
  <c r="O77" i="1"/>
  <c r="I77" i="1"/>
  <c r="J85" i="1" s="1"/>
  <c r="F77" i="1"/>
  <c r="D77" i="1"/>
  <c r="AK77" i="1" s="1"/>
  <c r="AJ76" i="1"/>
  <c r="AC76" i="1"/>
  <c r="W76" i="1"/>
  <c r="P76" i="1"/>
  <c r="O76" i="1"/>
  <c r="I76" i="1"/>
  <c r="J84" i="1" s="1"/>
  <c r="F76" i="1"/>
  <c r="D76" i="1"/>
  <c r="AK76" i="1" s="1"/>
  <c r="AJ75" i="1"/>
  <c r="AC75" i="1"/>
  <c r="P75" i="1"/>
  <c r="O75" i="1"/>
  <c r="I75" i="1"/>
  <c r="J83" i="1" s="1"/>
  <c r="F75" i="1"/>
  <c r="D75" i="1"/>
  <c r="AK75" i="1" s="1"/>
  <c r="AJ74" i="1"/>
  <c r="AC74" i="1"/>
  <c r="P74" i="1"/>
  <c r="O74" i="1"/>
  <c r="I74" i="1"/>
  <c r="J82" i="1" s="1"/>
  <c r="F74" i="1"/>
  <c r="D74" i="1"/>
  <c r="AK74" i="1" s="1"/>
  <c r="AJ73" i="1"/>
  <c r="AC73" i="1"/>
  <c r="P73" i="1"/>
  <c r="O73" i="1"/>
  <c r="I73" i="1"/>
  <c r="J81" i="1" s="1"/>
  <c r="F73" i="1"/>
  <c r="D73" i="1"/>
  <c r="AK73" i="1" s="1"/>
  <c r="AJ72" i="1"/>
  <c r="AC72" i="1"/>
  <c r="P72" i="1"/>
  <c r="O72" i="1"/>
  <c r="I72" i="1"/>
  <c r="J80" i="1" s="1"/>
  <c r="F72" i="1"/>
  <c r="D72" i="1"/>
  <c r="AK72" i="1" s="1"/>
  <c r="AJ71" i="1"/>
  <c r="AC71" i="1"/>
  <c r="P71" i="1"/>
  <c r="O71" i="1"/>
  <c r="I71" i="1"/>
  <c r="J79" i="1" s="1"/>
  <c r="F71" i="1"/>
  <c r="D71" i="1"/>
  <c r="AK71" i="1" s="1"/>
  <c r="AJ70" i="1"/>
  <c r="AC70" i="1"/>
  <c r="P70" i="1"/>
  <c r="O70" i="1"/>
  <c r="I70" i="1"/>
  <c r="J78" i="1" s="1"/>
  <c r="F70" i="1"/>
  <c r="D70" i="1"/>
  <c r="AK70" i="1" s="1"/>
  <c r="AJ69" i="1"/>
  <c r="AC69" i="1"/>
  <c r="P69" i="1"/>
  <c r="O69" i="1"/>
  <c r="I69" i="1"/>
  <c r="J77" i="1" s="1"/>
  <c r="F69" i="1"/>
  <c r="D69" i="1"/>
  <c r="AK69" i="1" s="1"/>
  <c r="AJ68" i="1"/>
  <c r="AC68" i="1"/>
  <c r="P68" i="1"/>
  <c r="O68" i="1"/>
  <c r="I68" i="1"/>
  <c r="J76" i="1" s="1"/>
  <c r="F68" i="1"/>
  <c r="D68" i="1"/>
  <c r="AK68" i="1" s="1"/>
  <c r="AJ67" i="1"/>
  <c r="AC67" i="1"/>
  <c r="P67" i="1"/>
  <c r="O67" i="1"/>
  <c r="I67" i="1"/>
  <c r="F67" i="1"/>
  <c r="D67" i="1"/>
  <c r="AK67" i="1" s="1"/>
  <c r="AJ66" i="1"/>
  <c r="AC66" i="1"/>
  <c r="P66" i="1"/>
  <c r="O66" i="1"/>
  <c r="I66" i="1"/>
  <c r="J74" i="1" s="1"/>
  <c r="F66" i="1"/>
  <c r="D66" i="1"/>
  <c r="AK66" i="1" s="1"/>
  <c r="AJ65" i="1"/>
  <c r="AC65" i="1"/>
  <c r="P65" i="1"/>
  <c r="O65" i="1"/>
  <c r="I65" i="1"/>
  <c r="F65" i="1"/>
  <c r="D65" i="1"/>
  <c r="AK65" i="1" s="1"/>
  <c r="AJ64" i="1"/>
  <c r="AC64" i="1"/>
  <c r="P64" i="1"/>
  <c r="O64" i="1"/>
  <c r="I64" i="1"/>
  <c r="J72" i="1" s="1"/>
  <c r="F64" i="1"/>
  <c r="D64" i="1"/>
  <c r="AK64" i="1" s="1"/>
  <c r="AJ63" i="1"/>
  <c r="AC63" i="1"/>
  <c r="P63" i="1"/>
  <c r="O63" i="1"/>
  <c r="I63" i="1"/>
  <c r="F63" i="1"/>
  <c r="D63" i="1"/>
  <c r="AK63" i="1" s="1"/>
  <c r="AJ62" i="1"/>
  <c r="AC62" i="1"/>
  <c r="P62" i="1"/>
  <c r="O62" i="1"/>
  <c r="I62" i="1"/>
  <c r="J70" i="1" s="1"/>
  <c r="F62" i="1"/>
  <c r="D62" i="1"/>
  <c r="AK62" i="1" s="1"/>
  <c r="AJ61" i="1"/>
  <c r="AC61" i="1"/>
  <c r="P61" i="1"/>
  <c r="O61" i="1"/>
  <c r="I61" i="1"/>
  <c r="F61" i="1"/>
  <c r="D61" i="1"/>
  <c r="AK61" i="1" s="1"/>
  <c r="AJ60" i="1"/>
  <c r="AC60" i="1"/>
  <c r="P60" i="1"/>
  <c r="O60" i="1"/>
  <c r="I60" i="1"/>
  <c r="J68" i="1" s="1"/>
  <c r="F60" i="1"/>
  <c r="D60" i="1"/>
  <c r="AK60" i="1" s="1"/>
  <c r="AJ59" i="1"/>
  <c r="AC59" i="1"/>
  <c r="P59" i="1"/>
  <c r="O59" i="1"/>
  <c r="J59" i="1"/>
  <c r="I59" i="1"/>
  <c r="J66" i="1" s="1"/>
  <c r="F59" i="1"/>
  <c r="D59" i="1"/>
  <c r="AK59" i="1" s="1"/>
  <c r="AK58" i="1"/>
  <c r="AJ58" i="1"/>
  <c r="AC58" i="1"/>
  <c r="J58" i="1"/>
  <c r="AK57" i="1"/>
  <c r="AJ57" i="1"/>
  <c r="AC57" i="1"/>
  <c r="P57" i="1"/>
  <c r="O57" i="1"/>
  <c r="J57" i="1"/>
  <c r="AK56" i="1"/>
  <c r="AJ56" i="1"/>
  <c r="AC56" i="1"/>
  <c r="P56" i="1"/>
  <c r="O56" i="1"/>
  <c r="J56" i="1"/>
  <c r="AK55" i="1"/>
  <c r="AJ55" i="1"/>
  <c r="AC55" i="1"/>
  <c r="P55" i="1"/>
  <c r="O55" i="1"/>
  <c r="J55" i="1"/>
  <c r="AK54" i="1"/>
  <c r="AJ54" i="1"/>
  <c r="AC54" i="1"/>
  <c r="P54" i="1"/>
  <c r="O54" i="1"/>
  <c r="J54" i="1"/>
  <c r="AK53" i="1"/>
  <c r="AJ53" i="1"/>
  <c r="AC53" i="1"/>
  <c r="P53" i="1"/>
  <c r="O53" i="1"/>
  <c r="J53" i="1"/>
  <c r="AK52" i="1"/>
  <c r="AJ52" i="1"/>
  <c r="AC52" i="1"/>
  <c r="P52" i="1"/>
  <c r="O52" i="1"/>
  <c r="J52" i="1"/>
  <c r="AK51" i="1"/>
  <c r="AJ51" i="1"/>
  <c r="AC51" i="1"/>
  <c r="P51" i="1"/>
  <c r="O51" i="1"/>
  <c r="J51" i="1"/>
  <c r="AK50" i="1"/>
  <c r="AJ50" i="1"/>
  <c r="AC50" i="1"/>
  <c r="P50" i="1"/>
  <c r="O50" i="1"/>
  <c r="J50" i="1"/>
  <c r="AK49" i="1"/>
  <c r="AJ49" i="1"/>
  <c r="AC49" i="1"/>
  <c r="P49" i="1"/>
  <c r="O49" i="1"/>
  <c r="J49" i="1"/>
  <c r="AK48" i="1"/>
  <c r="AJ48" i="1"/>
  <c r="AC48" i="1"/>
  <c r="P48" i="1"/>
  <c r="O48" i="1"/>
  <c r="J48" i="1"/>
  <c r="AK47" i="1"/>
  <c r="AJ47" i="1"/>
  <c r="AC47" i="1"/>
  <c r="P47" i="1"/>
  <c r="O47" i="1"/>
  <c r="J47" i="1"/>
  <c r="AK46" i="1"/>
  <c r="AJ46" i="1"/>
  <c r="AC46" i="1"/>
  <c r="P46" i="1"/>
  <c r="O46" i="1"/>
  <c r="J46" i="1"/>
  <c r="AK45" i="1"/>
  <c r="AJ45" i="1"/>
  <c r="AC45" i="1"/>
  <c r="P45" i="1"/>
  <c r="O45" i="1"/>
  <c r="J45" i="1"/>
  <c r="AK44" i="1"/>
  <c r="AJ44" i="1"/>
  <c r="AC44" i="1"/>
  <c r="P44" i="1"/>
  <c r="O44" i="1"/>
  <c r="J44" i="1"/>
  <c r="AK43" i="1"/>
  <c r="AJ43" i="1"/>
  <c r="AC43" i="1"/>
  <c r="P43" i="1"/>
  <c r="O43" i="1"/>
  <c r="J43" i="1"/>
  <c r="AK42" i="1"/>
  <c r="AJ42" i="1"/>
  <c r="AC42" i="1"/>
  <c r="P42" i="1"/>
  <c r="O42" i="1"/>
  <c r="J42" i="1"/>
  <c r="AK41" i="1"/>
  <c r="AJ41" i="1"/>
  <c r="AC41" i="1"/>
  <c r="P41" i="1"/>
  <c r="O41" i="1"/>
  <c r="J41" i="1"/>
  <c r="AK40" i="1"/>
  <c r="AJ40" i="1"/>
  <c r="AC40" i="1"/>
  <c r="P40" i="1"/>
  <c r="O40" i="1"/>
  <c r="J40" i="1"/>
  <c r="AK39" i="1"/>
  <c r="AJ39" i="1"/>
  <c r="AC39" i="1"/>
  <c r="P39" i="1"/>
  <c r="O39" i="1"/>
  <c r="J39" i="1"/>
  <c r="AK38" i="1"/>
  <c r="AJ38" i="1"/>
  <c r="AC38" i="1"/>
  <c r="W38" i="1"/>
  <c r="J38" i="1"/>
  <c r="AK37" i="1"/>
  <c r="AJ37" i="1"/>
  <c r="AC37" i="1"/>
  <c r="P37" i="1"/>
  <c r="O37" i="1"/>
  <c r="J37" i="1"/>
  <c r="AK36" i="1"/>
  <c r="AJ36" i="1"/>
  <c r="AC36" i="1"/>
  <c r="P36" i="1"/>
  <c r="O36" i="1"/>
  <c r="J36" i="1"/>
  <c r="AK35" i="1"/>
  <c r="AJ35" i="1"/>
  <c r="AC35" i="1"/>
  <c r="P35" i="1"/>
  <c r="O35" i="1"/>
  <c r="J35" i="1"/>
  <c r="AK34" i="1"/>
  <c r="AJ34" i="1"/>
  <c r="AC34" i="1"/>
  <c r="P34" i="1"/>
  <c r="O34" i="1"/>
  <c r="J34" i="1"/>
  <c r="AK33" i="1"/>
  <c r="AJ33" i="1"/>
  <c r="AC33" i="1"/>
  <c r="P33" i="1"/>
  <c r="O33" i="1"/>
  <c r="J33" i="1"/>
  <c r="AK32" i="1"/>
  <c r="AJ32" i="1"/>
  <c r="AC32" i="1"/>
  <c r="P32" i="1"/>
  <c r="O32" i="1"/>
  <c r="J32" i="1"/>
  <c r="AK31" i="1"/>
  <c r="AJ31" i="1"/>
  <c r="AC31" i="1"/>
  <c r="P31" i="1"/>
  <c r="O31" i="1"/>
  <c r="J31" i="1"/>
  <c r="AK30" i="1"/>
  <c r="AJ30" i="1"/>
  <c r="AC30" i="1"/>
  <c r="J30" i="1"/>
  <c r="AK29" i="1"/>
  <c r="AJ29" i="1"/>
  <c r="AC29" i="1"/>
  <c r="P29" i="1"/>
  <c r="O29" i="1"/>
  <c r="J29" i="1"/>
  <c r="AK28" i="1"/>
  <c r="AJ28" i="1"/>
  <c r="AC28" i="1"/>
  <c r="P28" i="1"/>
  <c r="O28" i="1"/>
  <c r="J28" i="1"/>
  <c r="AK27" i="1"/>
  <c r="AJ27" i="1"/>
  <c r="AC27" i="1"/>
  <c r="P27" i="1"/>
  <c r="O27" i="1"/>
  <c r="J27" i="1"/>
  <c r="AK26" i="1"/>
  <c r="AJ26" i="1"/>
  <c r="AC26" i="1"/>
  <c r="P26" i="1"/>
  <c r="O26" i="1"/>
  <c r="J26" i="1"/>
  <c r="AK25" i="1"/>
  <c r="AJ25" i="1"/>
  <c r="AC25" i="1"/>
  <c r="P25" i="1"/>
  <c r="O25" i="1"/>
  <c r="J25" i="1"/>
  <c r="AK24" i="1"/>
  <c r="AJ24" i="1"/>
  <c r="AC24" i="1"/>
  <c r="P24" i="1"/>
  <c r="O24" i="1"/>
  <c r="J24" i="1"/>
  <c r="AK23" i="1"/>
  <c r="AJ23" i="1"/>
  <c r="AC23" i="1"/>
  <c r="P23" i="1"/>
  <c r="O23" i="1"/>
  <c r="J23" i="1"/>
  <c r="AK22" i="1"/>
  <c r="AJ22" i="1"/>
  <c r="AC22" i="1"/>
  <c r="P22" i="1"/>
  <c r="O22" i="1"/>
  <c r="J22" i="1"/>
  <c r="AK21" i="1"/>
  <c r="AJ21" i="1"/>
  <c r="AC21" i="1"/>
  <c r="P21" i="1"/>
  <c r="O21" i="1"/>
  <c r="J21" i="1"/>
  <c r="AK20" i="1"/>
  <c r="AJ20" i="1"/>
  <c r="AC20" i="1"/>
  <c r="P20" i="1"/>
  <c r="O20" i="1"/>
  <c r="J20" i="1"/>
  <c r="AK19" i="1"/>
  <c r="AJ19" i="1"/>
  <c r="AC19" i="1"/>
  <c r="P19" i="1"/>
  <c r="O19" i="1"/>
  <c r="J19" i="1"/>
  <c r="AK18" i="1"/>
  <c r="AJ18" i="1"/>
  <c r="AC18" i="1"/>
  <c r="J18" i="1"/>
  <c r="AK17" i="1"/>
  <c r="AJ17" i="1"/>
  <c r="AC17" i="1"/>
  <c r="P17" i="1"/>
  <c r="O17" i="1"/>
  <c r="J17" i="1"/>
  <c r="AK16" i="1"/>
  <c r="AJ16" i="1"/>
  <c r="AC16" i="1"/>
  <c r="J16" i="1"/>
  <c r="AK15" i="1"/>
  <c r="AJ15" i="1"/>
  <c r="AC15" i="1"/>
  <c r="P15" i="1"/>
  <c r="O15" i="1"/>
  <c r="J15" i="1"/>
  <c r="AK14" i="1"/>
  <c r="AJ14" i="1"/>
  <c r="AC14" i="1"/>
  <c r="P14" i="1"/>
  <c r="O14" i="1"/>
  <c r="J14" i="1"/>
  <c r="AK13" i="1"/>
  <c r="AJ13" i="1"/>
  <c r="AC13" i="1"/>
  <c r="P13" i="1"/>
  <c r="O13" i="1"/>
  <c r="J13" i="1"/>
  <c r="I13" i="1"/>
  <c r="AK12" i="1"/>
  <c r="AJ12" i="1"/>
  <c r="AC12" i="1"/>
  <c r="P12" i="1"/>
  <c r="O12" i="1"/>
  <c r="AK11" i="1"/>
  <c r="AJ11" i="1"/>
  <c r="AC11" i="1"/>
  <c r="P11" i="1"/>
  <c r="O11" i="1"/>
  <c r="AK10" i="1"/>
  <c r="AJ10" i="1"/>
  <c r="AC10" i="1"/>
  <c r="P10" i="1"/>
  <c r="O10" i="1"/>
  <c r="AK9" i="1"/>
  <c r="AJ9" i="1"/>
  <c r="AC9" i="1"/>
  <c r="P9" i="1"/>
  <c r="O9" i="1"/>
  <c r="AK8" i="1"/>
  <c r="AJ8" i="1"/>
  <c r="AC8" i="1"/>
  <c r="P8" i="1"/>
  <c r="O8" i="1"/>
  <c r="AK7" i="1"/>
  <c r="AJ7" i="1"/>
  <c r="W7" i="1"/>
  <c r="P7" i="1"/>
  <c r="O7" i="1"/>
  <c r="AK6" i="1"/>
  <c r="AJ6" i="1"/>
  <c r="W6" i="1"/>
  <c r="P6" i="1"/>
  <c r="O6" i="1"/>
  <c r="I6" i="1"/>
  <c r="AK5" i="1"/>
  <c r="AJ5" i="1"/>
  <c r="W5" i="1"/>
  <c r="T5" i="1"/>
  <c r="R5" i="1"/>
  <c r="P5" i="1"/>
  <c r="O5" i="1"/>
  <c r="I5" i="1"/>
  <c r="J11" i="1" s="1"/>
  <c r="AK4" i="1"/>
  <c r="AJ4" i="1"/>
  <c r="AC4" i="1"/>
  <c r="W4" i="1"/>
  <c r="P4" i="1"/>
  <c r="O4" i="1"/>
  <c r="I4" i="1"/>
  <c r="J12" i="1" s="1"/>
  <c r="AC3" i="1"/>
  <c r="W3" i="1"/>
  <c r="P3" i="1"/>
  <c r="O3" i="1"/>
  <c r="I3" i="1"/>
  <c r="J9" i="1" s="1"/>
  <c r="J61" i="1" l="1"/>
  <c r="J63" i="1"/>
  <c r="J65" i="1"/>
  <c r="J67" i="1"/>
  <c r="J69" i="1"/>
  <c r="J71" i="1"/>
  <c r="J73" i="1"/>
  <c r="J75" i="1"/>
  <c r="J86" i="1"/>
  <c r="J88" i="1"/>
  <c r="J90" i="1"/>
  <c r="J92" i="1"/>
  <c r="J94" i="1"/>
  <c r="J96" i="1"/>
  <c r="J98" i="1"/>
  <c r="J100" i="1"/>
  <c r="J102" i="1"/>
  <c r="J104" i="1"/>
  <c r="J343" i="1"/>
  <c r="J342" i="1"/>
  <c r="J345" i="1"/>
  <c r="J344" i="1"/>
  <c r="J347" i="1"/>
  <c r="J346" i="1"/>
  <c r="J349" i="1"/>
  <c r="J348" i="1"/>
  <c r="J351" i="1"/>
  <c r="J350" i="1"/>
  <c r="J353" i="1"/>
  <c r="J352" i="1"/>
  <c r="J355" i="1"/>
  <c r="J354" i="1"/>
  <c r="J357" i="1"/>
  <c r="J356" i="1"/>
  <c r="J359" i="1"/>
  <c r="J358" i="1"/>
  <c r="J361" i="1"/>
  <c r="J360" i="1"/>
  <c r="J363" i="1"/>
  <c r="J362" i="1"/>
  <c r="J365" i="1"/>
  <c r="J364" i="1"/>
  <c r="J369" i="1"/>
  <c r="J368" i="1"/>
  <c r="J371" i="1"/>
  <c r="J370" i="1"/>
  <c r="J373" i="1"/>
  <c r="J372" i="1"/>
  <c r="J377" i="1"/>
  <c r="J376" i="1"/>
  <c r="J379" i="1"/>
  <c r="J378" i="1"/>
  <c r="J381" i="1"/>
  <c r="J380" i="1"/>
  <c r="J10" i="1"/>
  <c r="J60" i="1"/>
  <c r="J62" i="1"/>
  <c r="J64" i="1"/>
  <c r="J334" i="1"/>
  <c r="J336" i="1"/>
  <c r="J338" i="1"/>
  <c r="J340" i="1"/>
  <c r="J366" i="1"/>
  <c r="J382" i="1"/>
  <c r="J384" i="1"/>
  <c r="J386" i="1"/>
  <c r="J388" i="1"/>
  <c r="J333" i="1"/>
  <c r="J335" i="1"/>
  <c r="J337" i="1"/>
  <c r="J3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A384" authorId="0" shapeId="0" xr:uid="{58542B2E-A238-42E6-A67C-246734E0A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امروز قیمت اعلام نکرده است
</t>
        </r>
      </text>
    </comment>
    <comment ref="Z396" authorId="0" shapeId="0" xr:uid="{832D0046-28D2-43CF-BBD7-4E8D0A83F58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تا ساعت 2
</t>
        </r>
      </text>
    </comment>
    <comment ref="Z409" authorId="0" shapeId="0" xr:uid="{1FFFFA7C-94B0-433E-AE93-3ECC2DA8AA0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تا ساعت 3
</t>
        </r>
      </text>
    </comment>
  </commentList>
</comments>
</file>

<file path=xl/sharedStrings.xml><?xml version="1.0" encoding="utf-8"?>
<sst xmlns="http://schemas.openxmlformats.org/spreadsheetml/2006/main" count="1324" uniqueCount="1304">
  <si>
    <t>تاریخ</t>
  </si>
  <si>
    <t>ساعت</t>
  </si>
  <si>
    <t xml:space="preserve"> بازار بورس - شاخص ها</t>
  </si>
  <si>
    <t xml:space="preserve"> بازار بورس - نمادها و ورود و خروج پول</t>
  </si>
  <si>
    <t xml:space="preserve"> بازارهای موازی</t>
  </si>
  <si>
    <t>شاخص کل</t>
  </si>
  <si>
    <t>درصد کاهش یا افزایش شاخص کل</t>
  </si>
  <si>
    <t>شاخص هم وزن</t>
  </si>
  <si>
    <t>درصد کاهش یا افزایش شاخص هم وزن</t>
  </si>
  <si>
    <t>ارزش بازار بورس</t>
  </si>
  <si>
    <t>ارزش معاملات بورس</t>
  </si>
  <si>
    <t>ارزش معاملات بورس (بر حسب هزار میلیارد ریال)</t>
  </si>
  <si>
    <t>متوسط ارزش معاملات نه روز آخر (بر حسب هزار میلیارد ریال)</t>
  </si>
  <si>
    <t>ارزش بازار اول و دوم فرابورس</t>
  </si>
  <si>
    <t>ارزش بازار پایه</t>
  </si>
  <si>
    <t>ارزش معاملات فرابورس</t>
  </si>
  <si>
    <t xml:space="preserve">ارزش معاملات خرد </t>
  </si>
  <si>
    <t>تعداد نمادهای مثبت</t>
  </si>
  <si>
    <t>تعداد نمادهای منفی</t>
  </si>
  <si>
    <t>تعداد نماد در صف خرید</t>
  </si>
  <si>
    <t>ارزش صف خرید (هزار میلیارد ریال)</t>
  </si>
  <si>
    <t>تعداد نماد در صف فروش</t>
  </si>
  <si>
    <t>ارزش صف فروش (هزار میلیارد ریال)</t>
  </si>
  <si>
    <t>5 نماد با بیشترین ورود پول بر حسب میلیارد ریال</t>
  </si>
  <si>
    <t>5 نماد با بیشترین خروج پول بر حسب میلیارد ریال</t>
  </si>
  <si>
    <t>میزان ورود پول حقیقی (میلیارد تومان)</t>
  </si>
  <si>
    <t xml:space="preserve"> دلار توافقی</t>
  </si>
  <si>
    <t>تغییرات به روز قبل</t>
  </si>
  <si>
    <t>حجم معاملات</t>
  </si>
  <si>
    <t>قیمت دلار صرافی ملی (ریال)</t>
  </si>
  <si>
    <t>ارزش دلاری بازار</t>
  </si>
  <si>
    <t>درصد تغییر دلار</t>
  </si>
  <si>
    <t>قیمت بیتکوین بر حسب دلار</t>
  </si>
  <si>
    <t>درصد تغییر بیتکوین</t>
  </si>
  <si>
    <t>قیمت سکه بر حسب ریال</t>
  </si>
  <si>
    <t>درصد تغییر سکه</t>
  </si>
  <si>
    <t>قیمت طلای 18 عیار بر حسب ریال</t>
  </si>
  <si>
    <t>درصد تغییر طلا</t>
  </si>
  <si>
    <t>1400/01/17</t>
  </si>
  <si>
    <t>پارسیان 148- شتران101- فایرا101-غبشهر60-خزامیا51</t>
  </si>
  <si>
    <t>شپنا 269- وتجارت265- برکت229-وبملت114-خساپا100</t>
  </si>
  <si>
    <t>1400/01/21</t>
  </si>
  <si>
    <t>نمرینو 8- دامین 7- بپیوند 6- بگیلان 5-دماوند 4</t>
  </si>
  <si>
    <t>اپال 340- وملل 250- شستا 246- غپاک 244- شپنا 204</t>
  </si>
  <si>
    <t>1400/01/22</t>
  </si>
  <si>
    <t>غبشهر 111- خزامیا 34- سمازن 18- ثباغ 14 - درازک 13</t>
  </si>
  <si>
    <t>وبملت 660- اپال 417- شپنا 199-فولاد 173-وپاسار 123</t>
  </si>
  <si>
    <t>1400/01/23</t>
  </si>
  <si>
    <t>فولاد 237- آریا 79- وبملت 73- خفولا 60- خزامیا 37</t>
  </si>
  <si>
    <t>برکت 523- وتجارت 289- شپنا 212-وپارس 187-قملی 159</t>
  </si>
  <si>
    <t>1400/01/24</t>
  </si>
  <si>
    <t>فولاد 1090- تاپیکو 263- شستا 223- فخوز206-شپنا195</t>
  </si>
  <si>
    <t>وتجارت 561- وساخت 187-خساپا 178-قاسم 158-وبصادر 113</t>
  </si>
  <si>
    <t>1400/01/25</t>
  </si>
  <si>
    <t>میدکو 39-حتاید 30-وصندوق 14-ساراب 12-واحیا 9</t>
  </si>
  <si>
    <t>وتجارت 554- شپنا 409-وبملت 360-وبصادر 346-فملی 321</t>
  </si>
  <si>
    <t>1400/01/28</t>
  </si>
  <si>
    <t>ساراب 36- آرمان 7- شرانل 4- غپاک 4- شپدیس3</t>
  </si>
  <si>
    <t>وبملت 490- فملی 307-شستا 284-اپال 265-شپنا 192</t>
  </si>
  <si>
    <t>1400/01/29</t>
  </si>
  <si>
    <t>شرانل 18- فایرا 7-سخواف 3-وسپه 1- وبوعلی 0.88</t>
  </si>
  <si>
    <t>وپاسار 299- شستا 231-وملل230-شپنا194-فملی 164</t>
  </si>
  <si>
    <t>1400/01/30</t>
  </si>
  <si>
    <t>فملی 67- شپنا 55- کاوه 50- واحیا 32- تاصیکو 28</t>
  </si>
  <si>
    <t>وتجارت 521- وبصادر 385-وبملت 327- فولاد 294-شتران 287</t>
  </si>
  <si>
    <t>1400/01/31</t>
  </si>
  <si>
    <t>وبملت 448-وپارس196-ونوین113-خساپا54-سیدکو47</t>
  </si>
  <si>
    <t>برکت 719- وملل 279-شستا212-شبندر 149-شپنا 140</t>
  </si>
  <si>
    <t>1400/02/01</t>
  </si>
  <si>
    <t>باران 83-پترول 28- تیپیکو 10-آریان 9- معیار 8</t>
  </si>
  <si>
    <t>وتجارت 886- وبملت 504-وملل 456-فملی 330-فولاد 328</t>
  </si>
  <si>
    <t>1400/02/04</t>
  </si>
  <si>
    <t>وکار 131- ورازی 19-فجر 16-باران 16-پترول 12</t>
  </si>
  <si>
    <t>فولاد 286-وتجارت 270-شستا 256-وبملت 236-افق 183</t>
  </si>
  <si>
    <t>1400/02/05</t>
  </si>
  <si>
    <t>باران 20-شساخت 19-فجر 14-معیار 9- وصنعت6</t>
  </si>
  <si>
    <t>برکت 484- شستا 341-وتجارت 290-فولاد 283-فملی 262</t>
  </si>
  <si>
    <t>1400/02/06</t>
  </si>
  <si>
    <t>نوری 331 - شستا 122 - فجر 64 - حسینا 60 - آریا 42</t>
  </si>
  <si>
    <t>وپاسار 414 - خساپا 337 - میدکو 252 - وبصادر 236 - شپنا 234</t>
  </si>
  <si>
    <t>1400/02/07</t>
  </si>
  <si>
    <t>فولاد 317- فملی 296-پترول 153-شستا 107- ورازی 105</t>
  </si>
  <si>
    <t>وپاسار 326- کگهر 276- غسالم 112- فارس 105- سفارس98</t>
  </si>
  <si>
    <t>1400/02/08</t>
  </si>
  <si>
    <t>وبملت 903 - وتجارت 280 - خبهمن 164 - وبصادر 139 - ومهان 78</t>
  </si>
  <si>
    <t>اخابر 120 - شتران 115 - وپاسار 96 - برکت 77 - وکار 74</t>
  </si>
  <si>
    <t>1400/02/11</t>
  </si>
  <si>
    <t>خبهمن 173- وپاسار 133-ورازی 96-درازک 40-حسینا 37</t>
  </si>
  <si>
    <t>وسپهر 819 -فولاد 317- شستا 316- وتجارت 282- فملی 249</t>
  </si>
  <si>
    <t>1400/02/12</t>
  </si>
  <si>
    <t>وپاسار 150- وبملت 77- وپخش 25-تیپیکو 23-واحیا 19</t>
  </si>
  <si>
    <t>وسپهر 461- زاگرس 231- وتجارت 220- شستا 181- وبصادر 134</t>
  </si>
  <si>
    <t>1400/02/13</t>
  </si>
  <si>
    <t>وپاسار 53- دماوند 34-حسینا 23-واعتبار 18-وساخت 14</t>
  </si>
  <si>
    <t>فولاد 466- وسپهر 198- فملی 158- وبملت 157-بپاس 105</t>
  </si>
  <si>
    <t>1400/02/15</t>
  </si>
  <si>
    <t>وبصادر48- جم پیلن 48- واحیا 47-آریا 40-شستا 33</t>
  </si>
  <si>
    <t>شپنا 289- وبملت 240- وسپهر 235- شتران 179- فایرا 144</t>
  </si>
  <si>
    <t>1400/02/18</t>
  </si>
  <si>
    <t>وپاسار 358-ساراب 45-تماوند23-آریا 13-دماوند13</t>
  </si>
  <si>
    <t>شستا 295-وسپهر 274-وتجارت 253-وگردش 194-وپارس177</t>
  </si>
  <si>
    <t>1400/02/19</t>
  </si>
  <si>
    <t>دماوند 12- آریان 11- ساراب 9-لوتوس 5-بوعلی 4</t>
  </si>
  <si>
    <t>وپاسار 1220-وتجارت 630-وبصادر 507-فولاد 491-شستا 351</t>
  </si>
  <si>
    <t>1400/02/20</t>
  </si>
  <si>
    <t>فولاد 330-فملی 291- شستا 168- واحیا 157- ذوب 139</t>
  </si>
  <si>
    <t>خساپا 537- برکت175- فارس 153-شپنا 134-وبوعلی 114</t>
  </si>
  <si>
    <t>1400/02/21</t>
  </si>
  <si>
    <t>فولاد 364- شبندر254-شپنا 232-فملی 229-ذوب 158</t>
  </si>
  <si>
    <t>واعتبار 220-برکت 125-وپاسار 119-دماوند 117-واتی 107</t>
  </si>
  <si>
    <t>1400/02/22</t>
  </si>
  <si>
    <t>شبندر 432- ذوب 186- فجر 91- شپنا 79-فباهنر 41</t>
  </si>
  <si>
    <t>وتجارت 326- فولاد 301- فملی 253- وبصادر 242- وبانک 231</t>
  </si>
  <si>
    <t>1400/02/25</t>
  </si>
  <si>
    <t>کگل 363- شبندر 357-کچاد 312-شپنا 260-هرمز 162</t>
  </si>
  <si>
    <t>ذوب 245-وگردش 172-وپاسار 163-ورنا 163-وامید 100</t>
  </si>
  <si>
    <t>1400/02/26</t>
  </si>
  <si>
    <t>خودرو 272- خساپا 226-وپارس 193-خبهمن 158میدکو 102</t>
  </si>
  <si>
    <t>برکت 255- وپاسار 242- فملی 161- فولاد 155- پرداخت 147</t>
  </si>
  <si>
    <t>1400/02/27</t>
  </si>
  <si>
    <t>میدکو 126 - کاما 60 - فروی 55 -ونیکی 50 - تاپیکو 41</t>
  </si>
  <si>
    <t>فملی 312 - فولاد 273 - وامید 222 - شپنا 214 - وپارس 187</t>
  </si>
  <si>
    <t>1400/02/28</t>
  </si>
  <si>
    <t>اپال 118-  فجر73- وپارس 71- آریان 57-ونیکی 57</t>
  </si>
  <si>
    <t>برکت 740- خساپا 481- وپاسار 377- خودرو 224- وتجارت 205</t>
  </si>
  <si>
    <t>1400/02/29</t>
  </si>
  <si>
    <t>میدکو223- فجر 101- رمپنا 55-غگیلا 54- آریان 28</t>
  </si>
  <si>
    <t>وملل 377- برکت 369- وتجارت 294- فملی 246- وبصادر 244</t>
  </si>
  <si>
    <t>1400/03/01</t>
  </si>
  <si>
    <t>شبصیر 32- نمرینو 16- سیدکو 14- فتوسا 13- واعتبار 11</t>
  </si>
  <si>
    <t>وملل 805- فملی 677- خساپا 562- وپارس 480- وپاسار 446</t>
  </si>
  <si>
    <t>1400/03/02</t>
  </si>
  <si>
    <t>سفارس 96- سشرق 32- درازک 30- سیدکو 20-ساوه15</t>
  </si>
  <si>
    <t>شپنا 471- شبندر 421- وملل 408-اپال 362-فملی 243</t>
  </si>
  <si>
    <t>1400/03/03</t>
  </si>
  <si>
    <t>شتران 196- شغدیر 61- اخابر 34- پکرمان 24-بموتو 22</t>
  </si>
  <si>
    <t>وملل 393-غپینو284-برکت145-وبملت 145-وسپهر 132</t>
  </si>
  <si>
    <t>1400/03/04</t>
  </si>
  <si>
    <t>شپنا 227- نوری 130-ذوب 112-خبهمن 89-خگستر69</t>
  </si>
  <si>
    <t>وپاسار 1200-وبملت 288-برکت 259-سیتا 185-بپاس 178</t>
  </si>
  <si>
    <t>1400/03/05</t>
  </si>
  <si>
    <t>وبملت 104- سبجنو 79- رمپنا 70- درازک 63- پکرمان 62</t>
  </si>
  <si>
    <t>فوکا 364- وپاسار 223- وبیمه 212- برکت 154- تنوین 132</t>
  </si>
  <si>
    <t>1400/03/08</t>
  </si>
  <si>
    <t>فولاد 503 - فملی 495 - شپنا 339 - شبندر 246 - شبریز 214</t>
  </si>
  <si>
    <t>وپاسار 296 - غصینو 216 - دانا 135 - وملل 107 - کی بی سی 98</t>
  </si>
  <si>
    <t>1400/03/09</t>
  </si>
  <si>
    <t>فولاد 672- شپنا 179-تاپیکو 147-وغدیر 138- ذوب 132</t>
  </si>
  <si>
    <t>وپاسار 323- سمگا 287-تنوین 262-وپارس 224-غزر 172</t>
  </si>
  <si>
    <t>1400/03/10</t>
  </si>
  <si>
    <t>وصندوق 144-شپنا 117- اپال 92-فجر 51-آریان 39</t>
  </si>
  <si>
    <t>وتجارت 491- وبملت 341- فملی 314- شبندر 240-سمگا 234</t>
  </si>
  <si>
    <t>1400/03/11</t>
  </si>
  <si>
    <t>فولاد 89- فجر 48- فپنتا 46- دفارا 44- اپال 43</t>
  </si>
  <si>
    <t>دماوند 294-وبملت 273- شبندر 234- وپاسار 182- خساپا 137</t>
  </si>
  <si>
    <t>1400/03/12</t>
  </si>
  <si>
    <t>شپنا 736- غکورش 441- ذوب 159- خساپا 93- شتران 86</t>
  </si>
  <si>
    <t>وپاسار 265- بپاس 216- دماوند 139- ثشاهد 91- وملل 80</t>
  </si>
  <si>
    <t>1400/03/17</t>
  </si>
  <si>
    <t>غکورش 1170- شپدیس 168- کاما 159- خودرو 144- ذوب 132</t>
  </si>
  <si>
    <t>وپاسار 207- میدکو 155- فجر 151- کوثر 33- کگل 91</t>
  </si>
  <si>
    <t>1400/03/18</t>
  </si>
  <si>
    <t>وبملت 641- فروی 289- فزرین 206- وتجارت 122- غشهداب 100</t>
  </si>
  <si>
    <t>غکورش 423- غصینو 350- فولاد 327- میدکو 360-خودرو 230</t>
  </si>
  <si>
    <t>1400/03/19</t>
  </si>
  <si>
    <t>خگستر 188- هجرت 55- شاراک 38- زپارس 24- شبهرن 23</t>
  </si>
  <si>
    <t>بنو 327- وبملت 262- فولاد 223- خودرو 173- فملی 166</t>
  </si>
  <si>
    <t>1400/03/22</t>
  </si>
  <si>
    <t>غکورش 156-کلر 81- شتران 45- غگلپا33-هجرت 19</t>
  </si>
  <si>
    <t>فولاد 414-شپنا 409- وپاسار 316- وملل 242-وتجارت 191</t>
  </si>
  <si>
    <t>1400/03/23</t>
  </si>
  <si>
    <t>ودی78- خپارس 67- غفارس 62- کاما 42- فگستر 38</t>
  </si>
  <si>
    <t>وپاسار 258- سمگا 213- وتجارت 210- فولاد 203- تنوین 162</t>
  </si>
  <si>
    <t>1400/03/24</t>
  </si>
  <si>
    <t>شپنا 446- سمگا 151- خودرو 127- شتران 97- کاما 89</t>
  </si>
  <si>
    <t>میدکو 205- فملی 131- بپاس 128- فولاد 123- وپاسار 118</t>
  </si>
  <si>
    <t>1400/03/25</t>
  </si>
  <si>
    <t>باران 127- فتوسا88- فجر59- خساپا 44-کاذر 43</t>
  </si>
  <si>
    <t>شپنا 1014- فولاد 425- خاهن 248- وپاسار 244- فملی 210</t>
  </si>
  <si>
    <t>1400/03/26</t>
  </si>
  <si>
    <t>خاهن 168- فتوسا 137- کاما 126- شخارک 103- شبریز 86</t>
  </si>
  <si>
    <t>فولاد 550- وملل 319- شپنا 238- وپاسار 209- فملی 164</t>
  </si>
  <si>
    <t>1400/03/29</t>
  </si>
  <si>
    <t>تاپیکو 358- شفن 244- وبملت 222- شستا 218- شپدیس 203</t>
  </si>
  <si>
    <t>شپنا 272- فولاد 196- وملل 180- وپاسار 145- خاهن 130</t>
  </si>
  <si>
    <t>1400/03/30</t>
  </si>
  <si>
    <t>نوری 743- شستا 153- ثشاهد 118- ونوین 102- فتوسا 101</t>
  </si>
  <si>
    <t>شپنا 1540- فولاد 504- وملل 449- خاهن 429- برکت 325</t>
  </si>
  <si>
    <t>1400/03/31</t>
  </si>
  <si>
    <t>نوری 245- فملی 193- وتجارت 168- خودرو 163- برکت 163</t>
  </si>
  <si>
    <t>شپنا 339- وپاسار 282- میدکو229-فولاد205-وبملت 203</t>
  </si>
  <si>
    <t>1400/04/01</t>
  </si>
  <si>
    <t>فملی 926- وبملت 892- نوری 292- فولاد 234- وصندوق 203</t>
  </si>
  <si>
    <t>وآیند 749- غصینو 149- وساپا 88- وملل 87- شستا 85</t>
  </si>
  <si>
    <t>1400/04/02</t>
  </si>
  <si>
    <t>فولاد 833- فملی 798- وصندوق 414- شستا 347- کاوه 306</t>
  </si>
  <si>
    <t>وتجارت 381- وملل 213- خساپا 159- ونوین 91- کزغال 87</t>
  </si>
  <si>
    <t>1400/04/05</t>
  </si>
  <si>
    <t>شستا 559- بوعلی 266- تاپیکو 261- سیتا 247- ختور 186</t>
  </si>
  <si>
    <t>وبملت 161- فوکا 134- وساخت 102- اپال 92- وسرضوی 85</t>
  </si>
  <si>
    <t>1400/04/06</t>
  </si>
  <si>
    <t>تاپیکو 1010- شستا 470- غنوش 466- ومدیر 438- نوری 342</t>
  </si>
  <si>
    <t>شپنا 587- وملل 338- وتجارت 314- شپدیس 222- وبملت 174</t>
  </si>
  <si>
    <t>1400/04/07</t>
  </si>
  <si>
    <t>شستا 1040 - ومعادن 258 - شفن 256 - وتجارت 217 - نوری 176</t>
  </si>
  <si>
    <t>شپنا 277 - تاپیکو 163 - ساراب 160 - وملل 155 - فوکا 154</t>
  </si>
  <si>
    <t>1400/04/08</t>
  </si>
  <si>
    <t>اتکای 405- فملی 380- میدکو250- ومعادن 238- وامید 237</t>
  </si>
  <si>
    <t>وتجارت 278- برکت 255- شتران 218- وبملت 216- شپدیس 156</t>
  </si>
  <si>
    <t>1400/04/09</t>
  </si>
  <si>
    <t>گنگین 835- نوری 506- شستا 416- پارس 304- کدما 220</t>
  </si>
  <si>
    <t>وپاسار 248- وتجارت 142- وملل 130- فولاد 121- غصینو 104</t>
  </si>
  <si>
    <t>1400/04/12</t>
  </si>
  <si>
    <t>نوری 641- کدما 221- ونیکی 175- شفن 135- ولکار 134</t>
  </si>
  <si>
    <t>وتجارت 387- فولاد 377- شستا 370- وپاسار 315-خودرو 243</t>
  </si>
  <si>
    <t>1400/04/13</t>
  </si>
  <si>
    <t>نوری 426- اوان 261- فسرب 192- شفن 188- شبریز 187</t>
  </si>
  <si>
    <t>وتجارت 219- وپاسار 218- وملل 156- شپنا 150- شتران 110</t>
  </si>
  <si>
    <t>1400/04/14</t>
  </si>
  <si>
    <t>شپنا 573- تاپیکو 287- اخابر 253- قنیشا 223- فارس 199</t>
  </si>
  <si>
    <t>اوان 244- وآیند 159- فولاد 142- وپاسار 135- وتجارت 121</t>
  </si>
  <si>
    <t>1400/04/15</t>
  </si>
  <si>
    <t>شستا 1550- فملی 1370- فولاد 418- وصندوق 330- پارسان 269</t>
  </si>
  <si>
    <t>تاپیکو 192- وپاسار 171- رنیک 118- آریا 108- افق 102</t>
  </si>
  <si>
    <t>1400/04/16</t>
  </si>
  <si>
    <t>آریان 826- کاما 330- امید 226- بفجر 166- دتولید 163</t>
  </si>
  <si>
    <t>شپنا 236- فولاد 224- تاپیکو 186- خساپا 136- وتجارت 134</t>
  </si>
  <si>
    <t>1400/04/19</t>
  </si>
  <si>
    <t>رمپنا 493- کاما 290- کنور 117- وپاسار 100- قنیشا 96</t>
  </si>
  <si>
    <t>شپنا 368- فولاد 330- افق 309- وتجارت 163- تاپیکو 138</t>
  </si>
  <si>
    <t>1400/04/20</t>
  </si>
  <si>
    <t>فملی 192- ذوب 181- فولاژ 162- وپاسار 154- فولاد 142-</t>
  </si>
  <si>
    <t>شستا 467- خودرو 285- وغدیر 109- اپال 81- کاوه 80</t>
  </si>
  <si>
    <t>1400/04/21</t>
  </si>
  <si>
    <t>شاوان 792- سصفها 249- پارسان 188- شستا 182- رمپنا 155</t>
  </si>
  <si>
    <t>وغدیر 229- شپنا 175- فوکا 147- ومدیر 134- وپست 121</t>
  </si>
  <si>
    <t>1400/04/22</t>
  </si>
  <si>
    <t>ومعادن 422- وگستر 414- ثنوسا 256- اتکای 203- میدکو 191</t>
  </si>
  <si>
    <t>وتجارت 447- شپنا 372- وپارس 195- سفارس 189- فولاد 150</t>
  </si>
  <si>
    <t>1400/04/23</t>
  </si>
  <si>
    <t>پارس 390- نوری 387- آپ 301- شستا 198- شکبیر 182</t>
  </si>
  <si>
    <t>وآیند 236- نمرینو 233- تاپیکو 159- فولاد 144- فملی 137</t>
  </si>
  <si>
    <t>1400/04/26</t>
  </si>
  <si>
    <t>شبریز 691- شپنا 653- خبهمن 420- شتران 294- لطیف 279</t>
  </si>
  <si>
    <t>وبملت 393- فزرین 159- حکشتی 137- برکت 137- کگل 104</t>
  </si>
  <si>
    <t>1400/04/27</t>
  </si>
  <si>
    <t>تاپیکو 528- شستا 342- سپاها 216- شیران 184- شاوان 179</t>
  </si>
  <si>
    <t>نوری 261- سمگا 189- وغدیر 164- برکت 119- خساپا 106</t>
  </si>
  <si>
    <t>1400/04/28</t>
  </si>
  <si>
    <t>وصندوق 216- شستا 208- قشرین 198- وگستر 154- شبصیر 151</t>
  </si>
  <si>
    <t>برکت 167- ثبهساز 84- شگویا 81- وبانک 74- فخوز 63</t>
  </si>
  <si>
    <t>1400/05/04</t>
  </si>
  <si>
    <t>سپید 940- تیپیکو490- فسرب 280- جم پیلن 240- شغدیر 240</t>
  </si>
  <si>
    <t>برکت 150-کاما 140- کاوه 140- سفارس 130- تاپیکو 120</t>
  </si>
  <si>
    <t>1400/05/05</t>
  </si>
  <si>
    <t>ومعادن734-جم پیلن 414-شاراک272-کگهر248-وامید239</t>
  </si>
  <si>
    <t>تاپیکو231-فولاد225-ذوب178-شستا177-برکت170</t>
  </si>
  <si>
    <t>1400/05/06</t>
  </si>
  <si>
    <t>شاراک 74-شیراز33-فملی32-آریا29-کدما16</t>
  </si>
  <si>
    <t>وتجارت32-کگل22-ومعادن16-شگویا13-رمپنا13</t>
  </si>
  <si>
    <t>1400/05/09</t>
  </si>
  <si>
    <t>پارسان 430-تاپیکو400-فخوز390-فملی260-شفن250</t>
  </si>
  <si>
    <t>وتجارت270-سمگا230-شپنا210-زاگرس190-ومعادن160</t>
  </si>
  <si>
    <t>1400/05/10</t>
  </si>
  <si>
    <t>حتاید65-شاراک46-های وب33-غگلپا26-میدکو23</t>
  </si>
  <si>
    <t>فملی30-وتجارت20-ومعادن19-شپنا17-بوعلی14</t>
  </si>
  <si>
    <t>1400/05/11</t>
  </si>
  <si>
    <t>بنو 408- کرمان 129- وگستر 129- پترول 116- آریان 114</t>
  </si>
  <si>
    <t>شستا 298- فملی 257- حتاید 233- بپاس 225- شپنا 206</t>
  </si>
  <si>
    <t>1400/05/12</t>
  </si>
  <si>
    <t>فرابورس 372- میدکو 263- شاراک 262- کاما 205- فارس 203</t>
  </si>
  <si>
    <t>وتجارت 356- پارسان 159- فملی 155- حتاید 155- شپنا 138</t>
  </si>
  <si>
    <t>1400/05/13</t>
  </si>
  <si>
    <t>تاپیکو 572- وغدیر 554- فارس 439- پارسان 327- کرمان 285</t>
  </si>
  <si>
    <t>شگویا 200- وتجارت 192- ونوین 174- های وب 160- شپنا 147</t>
  </si>
  <si>
    <t>1400/05/16</t>
  </si>
  <si>
    <t>فارس 450- وبملت 414- های وب 406- سپید 228کگهر 220</t>
  </si>
  <si>
    <t>شپنا 511- تاپیکو 224- میدکو 198- وغدیر 194- کگل 184</t>
  </si>
  <si>
    <t>1400/05/17</t>
  </si>
  <si>
    <t>1400/05/18</t>
  </si>
  <si>
    <t>فخوز 1120- کاوه 395- کویر 212- شراز 171- شبریز 155</t>
  </si>
  <si>
    <t>فولاد 432- شپنا 294- وتجارت 276- تاپیکو 150- وغدیر 149</t>
  </si>
  <si>
    <t>1400/05/19</t>
  </si>
  <si>
    <t>کاوه 807- غدیس 445- فولاد 305- آریا 269- های وب 232</t>
  </si>
  <si>
    <t>شپنا 463- شستا 459- وغدیر 328- ومعادن 255- فخوز 199</t>
  </si>
  <si>
    <t>1400/05/20</t>
  </si>
  <si>
    <t>شستا1590-شتران620-فارس390-پارس300-نوری280</t>
  </si>
  <si>
    <t>وبملت300-فملی230-وغدیر220-وتجارت220-سمگا180</t>
  </si>
  <si>
    <t>1400/05/23</t>
  </si>
  <si>
    <t>پارس 2460- شتران 435- هرمز 415- خساپا 219- تایرا 153</t>
  </si>
  <si>
    <t>فولاد 831- فملی 539- شستا 417- فارس 379- شپنا 320</t>
  </si>
  <si>
    <t>1400/05/24</t>
  </si>
  <si>
    <t>شتران 661- شاراک 264- نوری 157- سپید 142- شستا 116</t>
  </si>
  <si>
    <t>فولاد 304- خودرو 218- فملی 186- برکت 170-سمگا 155</t>
  </si>
  <si>
    <t>1400/05/31</t>
  </si>
  <si>
    <t>شتران 608- خساپا 462- خودرو 427- وبانک 273- اخابر 244</t>
  </si>
  <si>
    <t>سمگا 1140- فولاد 675- سپید 493- فارس 370- وغدیر 238</t>
  </si>
  <si>
    <t>1400/06/01</t>
  </si>
  <si>
    <t>دلر 359- سپید 289- شاراک 253- اپال 208- نوری 192</t>
  </si>
  <si>
    <t>شپنا 678- فولاد 404- سمگا 332- پارس 295- برکت 234</t>
  </si>
  <si>
    <t>1400/06/02</t>
  </si>
  <si>
    <t>وبملت 609- سپید 535- ذوب 250- افق 231- فایرا 212</t>
  </si>
  <si>
    <t>فولاد 369- شپنا 286- میدکو 239- آریا 173- کگل 150</t>
  </si>
  <si>
    <t>1400/06/03</t>
  </si>
  <si>
    <t xml:space="preserve">پارسان 858- قثابت 774- خبهمن 423- شستا 417- تاپیکو 385- </t>
  </si>
  <si>
    <t>وبملت 565- برکت 367- فولاد 362- شپنا 322- شاوان 278</t>
  </si>
  <si>
    <t>1400/06/06</t>
  </si>
  <si>
    <t>وکار 1770- شتران 327- تنوین 298- وامید 293- شپنا 293</t>
  </si>
  <si>
    <t>نوری 403- برکت 327- فولاد 327- وبملت 306- پارس 254</t>
  </si>
  <si>
    <t>1400/06/07</t>
  </si>
  <si>
    <t>کاوه 653- کروی 173- اخابر 136- وهامون 133- فخوز 127</t>
  </si>
  <si>
    <t>فولاد 814- شپنا 793- وبملت 370- نوری 368- پارسان 351</t>
  </si>
  <si>
    <t>1400/06/08</t>
  </si>
  <si>
    <t>شبندر 3170- دلر 425- چکارن 268- مدیریت 186- کحافظ 137</t>
  </si>
  <si>
    <t>فملی 2460- فولاد 1990- شپنا 1110- فخوز 891- وغدیر 754</t>
  </si>
  <si>
    <t>1400/06/09</t>
  </si>
  <si>
    <t>شبندر 953- تایرا 300- سمگا 209- شاوان 204- فرابورس 194</t>
  </si>
  <si>
    <t>شپنا 662- شتران 618- شستا 457- خودرو 454- وبملت 451</t>
  </si>
  <si>
    <t>1400/06/10</t>
  </si>
  <si>
    <t>صبا 520- سمتاز 477- پارس338- نوری 328- آریا 304</t>
  </si>
  <si>
    <t>آریان 258- برکت 220- شپنا 189- واحیا 130- وپاسار 128</t>
  </si>
  <si>
    <t>1400/06/13</t>
  </si>
  <si>
    <t>تایرا 704- های وب 441- وسینا 413- اتکای 373- نوری 366</t>
  </si>
  <si>
    <t>شپنا 534- فولاد 252- وغدیر 221- ومعادن 160- فارس 143</t>
  </si>
  <si>
    <t>1400/06/14</t>
  </si>
  <si>
    <t>رمپنا 734- کوثر 516- وهامون 332- شستا 323- اتکای 240</t>
  </si>
  <si>
    <t>شپنا 361- شبندر 295- فولاد 216- شتران 155- وغدیر 153</t>
  </si>
  <si>
    <t>1400/06/15</t>
  </si>
  <si>
    <t>شبندر 644- آریان 312- شاوان 312- کگل 290- تاپکیش 280</t>
  </si>
  <si>
    <t>فولاد 590- نوری 245- وپاسار 220- فارس 168- بوعلی 133</t>
  </si>
  <si>
    <t>1400/06/16</t>
  </si>
  <si>
    <t>شسپا 934- صبا 694- مادیرا 370- مدیریت 238- شستا 220</t>
  </si>
  <si>
    <t>فولاد 647- شپنا 408- شتران 309- پارسان 169- وغدیر 167</t>
  </si>
  <si>
    <t>1400/06/17</t>
  </si>
  <si>
    <t>کنور 400- شستا 369- اتکای 164- وبملت 151- فولاژ 144</t>
  </si>
  <si>
    <t>فولاد 186- برکت 179- شپنا 175- میدکو 167- ذوب 124</t>
  </si>
  <si>
    <t>1400/06/20</t>
  </si>
  <si>
    <t>رمپنا 1170- اپال 261- مدیریت 261- وپارس 167- لخزر 140</t>
  </si>
  <si>
    <t>فولاد 673- وآیند 574- شپنا 340- وتجارت 217- کگل 200</t>
  </si>
  <si>
    <t>1400/06/21</t>
  </si>
  <si>
    <t>1400/06/22</t>
  </si>
  <si>
    <t>بنو 301- مدیریت 191- فسپا 170- خودرو 145- وبملت 95</t>
  </si>
  <si>
    <t>فولاد 596- شبندر 282- فملی 252- برکت 231- فزرین 156</t>
  </si>
  <si>
    <t>1400/06/23</t>
  </si>
  <si>
    <t>فملی 396- شپنا 308- شبریز 236- وبملت 205- شتران 200</t>
  </si>
  <si>
    <t>فولاد 288- پارسان 156- فوکا 113- وپاسار 110- وسکرشا 91</t>
  </si>
  <si>
    <t>1400/06/24</t>
  </si>
  <si>
    <t>خمحور 95- کماسه 91- اتکای 90- دسانکو 88- آریان 80</t>
  </si>
  <si>
    <t>فارس 381- فولاد 376- شپنا 266- فملی 230- میدکو 173</t>
  </si>
  <si>
    <t>1400/06/27</t>
  </si>
  <si>
    <t>آریان 453- مدیریت 113- شستا 95- مفاخر 54- افق 46</t>
  </si>
  <si>
    <t>شپنا 727- شتران 349- وپارس 337- فولاد 309- فملی 266</t>
  </si>
  <si>
    <t>1400/06/28</t>
  </si>
  <si>
    <t>اتکای 283- فن آوا 81- سباقر 78- شفن 55- فجهان 52</t>
  </si>
  <si>
    <t>شپنا 311- فولاد 294- شبندر 261- پارسان 242- فملی 237</t>
  </si>
  <si>
    <t>1400/06/29</t>
  </si>
  <si>
    <t>کیمیاتک 330- کماسه 154- کی بی سی 125- اتکای 99- کسرام 90</t>
  </si>
  <si>
    <t>وبملت 270- میدکو 267- شبندر 256- فولاد 187- فملی 169</t>
  </si>
  <si>
    <t>1400/06/30</t>
  </si>
  <si>
    <t>فرابورس 725- کی بی سی 58- اتکای 50- گنگین 48- کماسه 42</t>
  </si>
  <si>
    <t>شکام 1830- شپنا 599- فوکا 303- شبندر 301- فولاد 279</t>
  </si>
  <si>
    <t>1400/06/31</t>
  </si>
  <si>
    <t>سمگا 321- حافرین 280- شتران 275- کالا 260- شپنا 232</t>
  </si>
  <si>
    <t>فجهان 1210- برکت 398- شبندر 378- فولاد 230- وپست 206</t>
  </si>
  <si>
    <t>1400/07/03</t>
  </si>
  <si>
    <t>شپنا102-شتران75-شپدیس48-شاوان32-فملی25</t>
  </si>
  <si>
    <t>فجهان97-فسبزوار83-میدکو17-برکت13-وبملت11</t>
  </si>
  <si>
    <t>1400/07/04</t>
  </si>
  <si>
    <t>رمپنا 241- شپنا 170- پارسان 143- البرز 66- شگویا 62</t>
  </si>
  <si>
    <t>فجهان 1030- فسبزوار 791- کیمیاتک 202- سمگا 138- اتکای 133</t>
  </si>
  <si>
    <t>1400/07/06</t>
  </si>
  <si>
    <t>شبندر360-توسن170-شپنا100-شیراز100-سمگا80</t>
  </si>
  <si>
    <t>کیمیاتک460-فسبزوار150-فولاد130-وآذر120-میدکو120</t>
  </si>
  <si>
    <t>1400/07/07</t>
  </si>
  <si>
    <t>شپدیس 1090- شیراز 433- تاپکیش 214- پارسان 213- کرماشا 156</t>
  </si>
  <si>
    <t>فجهان 486- فسبزوار 214- وبملت 177- وپاسار 150- اتکای 147</t>
  </si>
  <si>
    <t>1400/07/10</t>
  </si>
  <si>
    <t>کچاد 530- شپدیس 441- پارسان 420- ومعادن 329- شفن 312</t>
  </si>
  <si>
    <t>فجهان 649- فسبزوار 361- میدکو 343- اتکای 210- وبملت 172</t>
  </si>
  <si>
    <t>1400/07/11</t>
  </si>
  <si>
    <t>تاپیکو 348- خبهمن 265- اتکای 207- برکت 185- خراسان 170</t>
  </si>
  <si>
    <t>فجهان 940- شتران 544- وغدیر 362- فسبزوار 313- فملی 288</t>
  </si>
  <si>
    <t>1400/07/12</t>
  </si>
  <si>
    <t>برکت 375- خراسان 199- قیستو 148- وبصادر 136- ونیکی 133</t>
  </si>
  <si>
    <t>فن آوا 530- فسبزوار 421- شپنا 405- فجهان 323- پارسان 222</t>
  </si>
  <si>
    <t>1400/07/14</t>
  </si>
  <si>
    <t>شپنا 520- بترانس 321- خراسان 240- شبریز 137- فخوز 82</t>
  </si>
  <si>
    <t>فجهان 487- وپست 330- فسبزوار 298- پارسان 155- برکت 126</t>
  </si>
  <si>
    <t>1400/07/17</t>
  </si>
  <si>
    <t>ورازی109-شپاس81-وخاور62-ولپارس59-کفرآور50</t>
  </si>
  <si>
    <t>آریان1070-فملی432-شپنا400-شبریز314-تاپیکو306</t>
  </si>
  <si>
    <t>1400/07/18</t>
  </si>
  <si>
    <t>شراز 265- شبریز 219- شاوان 120- فپنتا 97- شبندر 95</t>
  </si>
  <si>
    <t>فسبزوار 267- فملی 230- فولاد 215- توسن 184- برکت 172</t>
  </si>
  <si>
    <t>1400/07/19</t>
  </si>
  <si>
    <t>زاگرس 228- شغدیر 159- برکت 90- نطرین 79- خراسان 77</t>
  </si>
  <si>
    <t>شپنا 382- فارس 345- سمگا 198- فملی 189- میدکو 148</t>
  </si>
  <si>
    <t>1400/07/20</t>
  </si>
  <si>
    <t>لپارس 356- زاگرس 353- شکام 193- غمینو 174- چکاپا 67</t>
  </si>
  <si>
    <t>شپنا 1120- فجهان 682- آریان 646- شبندر 519- فملی 386</t>
  </si>
  <si>
    <t>1400/07/21</t>
  </si>
  <si>
    <t>شکام 408- زاگرس 190- شپدیس 64- غشصفا 55- شفن 47</t>
  </si>
  <si>
    <t>شپنا 810- برکت 314- فملی 236- پارسان 224- خبهمن 215</t>
  </si>
  <si>
    <t>1400/07/24</t>
  </si>
  <si>
    <t>فولاد 635- زاگرس 398- کاوه 305- کچاد 273- شغدیر 262</t>
  </si>
  <si>
    <t>فسبزوار 110- وبملت 104- سمگا 90- فجهان 78- وپاسار 74-</t>
  </si>
  <si>
    <t>1400/07/25</t>
  </si>
  <si>
    <t>شراز 301- فملی 142- زاگرس 141- شپدیس 103- کاما 80</t>
  </si>
  <si>
    <t>وگردش 512- شپنا 397- فولاد 391- فجهان 346- وبملت 197</t>
  </si>
  <si>
    <t>1400/07/26</t>
  </si>
  <si>
    <t>کروی 311- شاراک 305- شفن 255- شپدیس 170- سمگا 163</t>
  </si>
  <si>
    <t>آریان 833- شبندر 476- شپنا 438- فولاد 373- وبملت 348</t>
  </si>
  <si>
    <t>1400/07/27</t>
  </si>
  <si>
    <t>اخابر 465- های وب 183- تنوین 114- سمایه 98- ورازی 94</t>
  </si>
  <si>
    <t>آریان 747- فملی 239- شبندر 202- تایرا 178- فجهان 137</t>
  </si>
  <si>
    <t>1400/07/28</t>
  </si>
  <si>
    <t>های وب 135- شتران 78- حبندر 73- شیران 68- اخابر 67</t>
  </si>
  <si>
    <t>فملی 431- آریان 390- فجهان 265- بپاس 208- شپنا 138</t>
  </si>
  <si>
    <t>1400/08/01</t>
  </si>
  <si>
    <t>فولاد 767- شبصیر 164- اتکای 132- های وی 117- هرمز 109</t>
  </si>
  <si>
    <t>آریان 1100- فملی 347- پارسان 263- فجهان 232- تاپیکو 218</t>
  </si>
  <si>
    <t>1400/08/03</t>
  </si>
  <si>
    <t>تپکو170-سامان110-وسین70-حآفرین50-سیمرغ50</t>
  </si>
  <si>
    <t>شپنا260-آریان260-فجهان230-وبصادر220-شصفها210</t>
  </si>
  <si>
    <t>1400/08/04</t>
  </si>
  <si>
    <t>اتکای860-شپدیس210-رانفور210-فاسمین160-حآفرین60</t>
  </si>
  <si>
    <t>وپارس410-شفن390-شاراک390-فملی320-شپنا240</t>
  </si>
  <si>
    <t>1400/08/05</t>
  </si>
  <si>
    <t>اتکای1010-ثشاهد250-های وب250-فولاد240-دزهراویح140</t>
  </si>
  <si>
    <t>تپکو180-بپاس160-تکشا150-کگل150-فملی120</t>
  </si>
  <si>
    <t>1400/08/08</t>
  </si>
  <si>
    <t>فرابورس 83- ثشاهد 78- شفا 61- آپ 46- وثنو 44</t>
  </si>
  <si>
    <t>فجهان 553- فملی 486- فولاد 423- فسبزوار 273- شپنا 230</t>
  </si>
  <si>
    <t>1400/08/09</t>
  </si>
  <si>
    <t>حسیر 18-سمایه16- فاراک 15- تپکو9- سهگمت 8</t>
  </si>
  <si>
    <t>اتکای 535- فملی 517- شپنا 457- فولاد 454- وپارس 368</t>
  </si>
  <si>
    <t>1400/08/10</t>
  </si>
  <si>
    <t>شپنا 295- شبریز 70- فرابورس 69- شتران 61- شبندر 57</t>
  </si>
  <si>
    <t>میدکو 154- غزر 145- وکار 129- آریان 126- اتکای 118</t>
  </si>
  <si>
    <t>1400/08/11</t>
  </si>
  <si>
    <t>غزر 120- فرابورس 110- شبندر 88- اتکای 53- خساپا 45</t>
  </si>
  <si>
    <t>نوری 216- سمگا 212- برکت 177- فملی 120- فجهان 108</t>
  </si>
  <si>
    <t>1400/08/12</t>
  </si>
  <si>
    <t>شپدیس 403- سمگا 400- وصنعت 390- اتکای 359- کرمانشا 92</t>
  </si>
  <si>
    <t>فملی 128- فجهان 106- کوثر 94- وزمین 93- غصینو 67</t>
  </si>
  <si>
    <t>1400/08/15</t>
  </si>
  <si>
    <t>شبندر 139- شپنا 127- نوری 109- اتکای 85- شپدیس 79</t>
  </si>
  <si>
    <t>کگل 56- تپکو 40- فولاد 36- مبین 30- کچاد 24</t>
  </si>
  <si>
    <t>1400/08/16</t>
  </si>
  <si>
    <t>خساپا 170- خودرو 156- رمپنا 140- خبهمن 97- اخابر 83</t>
  </si>
  <si>
    <t>فولاد 624- فملی 328- شپنا 272- غصینو 222- شستا 219</t>
  </si>
  <si>
    <t>1400/08/17</t>
  </si>
  <si>
    <t>وگردش 528- خودرو 274- شاراک 249- بپاس 239- نوری 176</t>
  </si>
  <si>
    <t>فملی 242- فجهان 201- فولاد 187- شپنا 162 - وکار 144</t>
  </si>
  <si>
    <t>1400/08/18</t>
  </si>
  <si>
    <t>زاگرس 670- شپنا 466- شبندر 411- سمگا 221- خودرو 202</t>
  </si>
  <si>
    <t>بپاس 183- فجهان 138- بوعلی 136- فسبزوار 128- کویر 108</t>
  </si>
  <si>
    <t>1400/08/19</t>
  </si>
  <si>
    <t>وبملت 654- خبهمن 160- دلر 146- اخابر 139- شستا 128</t>
  </si>
  <si>
    <t>فولاد 297- شپنا 259- اتکای 147- برکت 145- سمگا 137</t>
  </si>
  <si>
    <t>1400/08/22</t>
  </si>
  <si>
    <t>نوری 162- شنفت 101- شپدیس 94- سپید 59- شاوان 50</t>
  </si>
  <si>
    <t>شپنا 414- بپاس 277- شبندر 265- وبملت 259- سمگا 148</t>
  </si>
  <si>
    <t>1400/08/23</t>
  </si>
  <si>
    <t>وصنعت360-فخوز210-نوری150-شلر110-کالا110</t>
  </si>
  <si>
    <t>غکورش230-شپنا210-بپاس200-فولاد200-فجهان200</t>
  </si>
  <si>
    <t>1400/08/24</t>
  </si>
  <si>
    <t>بورس1120-کالا50-حکشتی40-سباقر40-پاکشو40</t>
  </si>
  <si>
    <t>سمگا400-شپنا370-فولاد300-تپکو290-وبملت220</t>
  </si>
  <si>
    <t>1400/08/25</t>
  </si>
  <si>
    <t>پاکشو 615- انرژی سه 321- سمگا 166- کدما 88- کالا 77</t>
  </si>
  <si>
    <t>برکت 106- فملی 94- فسبزوار 84- بپاس 77- خراسان 76</t>
  </si>
  <si>
    <t>1400/08/26</t>
  </si>
  <si>
    <t>شفن 765- ثشاهد 473- سمگا 269- شلرد 213- خبمهن 209</t>
  </si>
  <si>
    <t>برکت 240- پاکشو 217- فولاد 181- فجهان 119- کگل 118</t>
  </si>
  <si>
    <t>1400/08/29</t>
  </si>
  <si>
    <t>ثشاهد 557- شفن 293- گشان 81- غپینو 70- بموتو 59</t>
  </si>
  <si>
    <t>فولاد 396- شبندر 320- بپاس 184- بوعلی 167- فسبزوار 164</t>
  </si>
  <si>
    <t>1400/08/30</t>
  </si>
  <si>
    <t>خبهمن 273- تاپیکو 214- فاراک 148- شستا 130- فولاد 120</t>
  </si>
  <si>
    <t>اتکای 141- میدکو 130- آریان 120- کگل 104- فسبزوار 103</t>
  </si>
  <si>
    <t>1400/09/01</t>
  </si>
  <si>
    <t>وبملت 456- شفن 311- شستا 238- فولاد 199- شکلر 171</t>
  </si>
  <si>
    <t>خبهمن 216- فسبزوار 160- شبندر 150- آریان 104- سمگا 98</t>
  </si>
  <si>
    <t>1400/09/02</t>
  </si>
  <si>
    <t>پارس 1180- شفن 463- شلرد 183- غبهنوش 90- حافرین 83</t>
  </si>
  <si>
    <t>فجهان 162- خبهمن 110- تاپیکو 98- وبملت 88- فسبزوار 87</t>
  </si>
  <si>
    <t>1400/09/03</t>
  </si>
  <si>
    <t>جم پیلن 156- شفن 126- شکام 98- انرژی سه 81- وساپا 73</t>
  </si>
  <si>
    <t>شستا 249- فسبزوار 215- زاگرس 126- فجهان 120- فولاد 109</t>
  </si>
  <si>
    <t>1400/09/06</t>
  </si>
  <si>
    <t>بورس 131- انرژی سه 70- فولاد 56- کهمدا 33- غپاک 32</t>
  </si>
  <si>
    <t>شستا 300- فسبزوار 205- سمگا 182- آپ 178- پارس 170</t>
  </si>
  <si>
    <t>1400/09/07</t>
  </si>
  <si>
    <t>پارس 110- شفن 97- توسن 83- وصنعت 76- انرژی سه 75</t>
  </si>
  <si>
    <t>میدکو 169- بپاس 133- شستا 121- فسبزوار 110- شبندر 78</t>
  </si>
  <si>
    <t>1400/09/08</t>
  </si>
  <si>
    <t>وگردش 1320- نوری 128- مبین 86- کاوه 70- بپاس 55</t>
  </si>
  <si>
    <t>فسبزوار 189- سمگا 188- شکلر 122- شستا 120- بورس 118</t>
  </si>
  <si>
    <t>1400/09/09</t>
  </si>
  <si>
    <t>فباهنرح270-وگردش180-فولاد150-تاصیکو140-سمایه120</t>
  </si>
  <si>
    <t>سمگا1430-ومعادن190-سپید160-فجهان140-شستا110</t>
  </si>
  <si>
    <t>1400/09/10</t>
  </si>
  <si>
    <t>وگردش 431- شفن 111- شبصیر 108- دیران 76- فرآور56</t>
  </si>
  <si>
    <t>فسبزوار 291- سمگا 214- شستا 211- بپاس 203- ومعادن 142</t>
  </si>
  <si>
    <t>1400/09/13</t>
  </si>
  <si>
    <t>شفا 102- توسن 92- شفن 86- کاوه 80- شپنا 62</t>
  </si>
  <si>
    <t>بپاس 330- فسبزوار 157- شستا 157- خبهمن 131- میدکو 110</t>
  </si>
  <si>
    <t>1400/09/14</t>
  </si>
  <si>
    <t>شفن 139- بورس 117- توسن 87- فسپا 70- نیرو 55</t>
  </si>
  <si>
    <t>بپاس 414- فسبزوار 128- غصینو 101- شبندر 83- میدکو 65</t>
  </si>
  <si>
    <t>1400/09/15</t>
  </si>
  <si>
    <t>وصندوق 123- شپدیس 83- فسپا 57- کاوه 43- مدیریت 42</t>
  </si>
  <si>
    <t>واحیا 339- بپاس 148- فملی 140- فسبزوار 133- کگل 104</t>
  </si>
  <si>
    <t>1400/09/16</t>
  </si>
  <si>
    <t>جم 107- سمگا 69- غناب 51- غکورش46- شپدیس 30</t>
  </si>
  <si>
    <t>وگردش 281- سپیدار 126- شستا 120- نوری 105- شبندر 93</t>
  </si>
  <si>
    <t>1400/09/17</t>
  </si>
  <si>
    <t>خبهمن 156- خودرو 97- بورس 86- انرژی سه 69- فملی 54</t>
  </si>
  <si>
    <t>بپاس 168- وپست 141- فسبزوار 124- شگویا 66- وگردش 64</t>
  </si>
  <si>
    <t>1400/09/20</t>
  </si>
  <si>
    <t>غاذر 47- فن آوا 42- کنور 41- وآذر 36- غناب 33</t>
  </si>
  <si>
    <t>خساپا 186- فولاد 145- بپاس 123- فجهان 117- شبندر 114</t>
  </si>
  <si>
    <t>1400/09/21</t>
  </si>
  <si>
    <t>خمحور 38- دشیمی 26- سغدیر 21- سبجنو 17- مداران 14</t>
  </si>
  <si>
    <t>خودرو 316- خساپا 269- میدکو 167- برکت 164- خبهمن 135</t>
  </si>
  <si>
    <t>1400/09/22</t>
  </si>
  <si>
    <t>سغدیر 888- شاملا 75- شپاکسا 62- مبین 43- غپینو 40</t>
  </si>
  <si>
    <t>بپاس 329- شستا 205- فسبزوار 171- سمگا 155- شبندر 154</t>
  </si>
  <si>
    <t>1400/09/23</t>
  </si>
  <si>
    <t>شفن 60- شپدیس 58- سفارس 46- مدیریت 33- مادیرا 23</t>
  </si>
  <si>
    <t>خودرو 289- فولاد 218- شستا 163- بپاس 161- فملی 115</t>
  </si>
  <si>
    <t>1400/09/24</t>
  </si>
  <si>
    <t>شفن 125- توسن 90- فرابورس 52- کالا 28- شبصیر 20</t>
  </si>
  <si>
    <t>بپاس 233- خساپا 193- خودرو 185- برکت 146- سغدیر 130</t>
  </si>
  <si>
    <t>1400/09/27</t>
  </si>
  <si>
    <t>شپدیس 379- بورس 133- خودرو 111- انرژی سه 106- توسن 103</t>
  </si>
  <si>
    <t>بپاس 319- شپاکسا 135- وپاسار 63- تپکو 59- خودکفا 58</t>
  </si>
  <si>
    <t>1400/09/28</t>
  </si>
  <si>
    <t>انرژی 170-کالا110-شپدیس110-بورس90-فرابورس70</t>
  </si>
  <si>
    <t>بپاس410-بمپنا210-فسبزوار210-وگردش140-فولاد120</t>
  </si>
  <si>
    <t>1400/09/29</t>
  </si>
  <si>
    <t>توسن 281- شپدیس 86- های وب 81- شپاکسا 80- وتجارت 68</t>
  </si>
  <si>
    <t>بپاس 235- تپکو 116- خودرو 111- وغدیر 100- برکت 90</t>
  </si>
  <si>
    <t>1400/09/30</t>
  </si>
  <si>
    <t>شیراز 96- توسن 74- کاوه 62- غنوش 43- شپدیس 43</t>
  </si>
  <si>
    <t>شلرد 109- شستا 92- زاگرس 84- فسبزوار 75- فرابورس 67</t>
  </si>
  <si>
    <t>1400/10/01</t>
  </si>
  <si>
    <t>ثشاهد 397- فولاد 338- بورس 202- فارس 169- شپنا 166</t>
  </si>
  <si>
    <t>تپکو 110- وبصادر 93- کهمدا 92- شیراز 91- امید 84</t>
  </si>
  <si>
    <t>1400/10/04</t>
  </si>
  <si>
    <t>اتکای 307- شاوان 198- حافرین 139- شبندر 119- آریان 109</t>
  </si>
  <si>
    <t>شتران 226- بپاس 166- وبملت 161- شگویا 131- شپنا 108</t>
  </si>
  <si>
    <t>1400/10/05</t>
  </si>
  <si>
    <t>شبندر190-جمح120-کدما70-ذوب60-اخابر50</t>
  </si>
  <si>
    <t>بپاس340-فولاد320-وتجارت300-بموتو280-شپنا190</t>
  </si>
  <si>
    <t>1400/10/06</t>
  </si>
  <si>
    <t>ذوب 78- فملی 61- توسن 55- شکام 53- فپنتا 36</t>
  </si>
  <si>
    <t>شستا 359- شتران 151- شبندر 147- بموتو 93- فولاد 87</t>
  </si>
  <si>
    <t>1400/10/07</t>
  </si>
  <si>
    <t>حافرین 555- بورس 153- برکت 149- بوعلی 93- تاپکیش 78</t>
  </si>
  <si>
    <t>فملی 281- شستا 175- شبندر 141- فولاد 104- سامان 92</t>
  </si>
  <si>
    <t>1400/10/08</t>
  </si>
  <si>
    <t>سمازن150-فرابورس120-تاصیکو80-شزنگ50-دابورح40</t>
  </si>
  <si>
    <t>وتوصا500-فملی480-فولاد460-شستا190-وغدیر180</t>
  </si>
  <si>
    <t>1400/10/11</t>
  </si>
  <si>
    <t>بهپاک 46- ثاباد 31- فپنتا 27- وآذر 25- سصفها 24</t>
  </si>
  <si>
    <t>فولاد 328- فملی 324- شپدیس 266- وبصادر 145- وتجارت 132</t>
  </si>
  <si>
    <t>1400/10/12</t>
  </si>
  <si>
    <t>حافرین 286- گنگین 51- غزر 38- وآذر 35- شلرد 28</t>
  </si>
  <si>
    <t>فملی 168- سفارس 78- فولاد 76- فخوز 73- شپدیس 72</t>
  </si>
  <si>
    <t>1400/10/13</t>
  </si>
  <si>
    <t>پکرمان 80- برکت 66- چخزر 24- حافرین 20- وصنعت 18</t>
  </si>
  <si>
    <t>فملی 340- سمگا 128- اتکام 113- غگلپا 100- وبملت 94</t>
  </si>
  <si>
    <t>1400/10/14</t>
  </si>
  <si>
    <t>وگردش 101- شزنگ 77- انرژی سه 60- قنقش 59- غبشهر 52</t>
  </si>
  <si>
    <t>میدکو 712- فملی 247- فولاد 192- خبهمن 125- خنصیر 113</t>
  </si>
  <si>
    <t>1400/10/15</t>
  </si>
  <si>
    <t>غچین 76- وصنعت 63- درازک 57- کرماشا 37- فنوال 33</t>
  </si>
  <si>
    <t>فملی 193- فولاد 127- تماوند 125- وغدیر 102- ومعادن 96</t>
  </si>
  <si>
    <t>1400/10/18</t>
  </si>
  <si>
    <t>لطیف 81- قنقش 69- خمحور  68- خساپا 45- وبملت 44</t>
  </si>
  <si>
    <t>فملی 231- فولاد 206- خودرو 165- امین 113- فجهان 109</t>
  </si>
  <si>
    <t>1400/10/19</t>
  </si>
  <si>
    <t>توسن 54- کاما 27- کاوه 24- ختوقا 15- شرانل 14</t>
  </si>
  <si>
    <t>فملی 597- شپنا 188- وغدیر 168- فجهان 135- فولاد 118</t>
  </si>
  <si>
    <t>1400/10/20</t>
  </si>
  <si>
    <t>چخزر 89- خگستر 36- قنقش 28- حکشتی 26- کفرآور 25</t>
  </si>
  <si>
    <t>فملی 258- شپنا 178- وگردش 99- فولاد 90- حسیر 88</t>
  </si>
  <si>
    <t>1400/10/21</t>
  </si>
  <si>
    <t>فالوم 95- خکاوه 49-وبملت 37- وایران 25- فروس 23</t>
  </si>
  <si>
    <t>فملی 133- میدکو 107- وبصادر 98- توسن 74- شپدیس 69</t>
  </si>
  <si>
    <t>1400/10/22</t>
  </si>
  <si>
    <t>سمگا 353- شفن 108- خکاوه 98- وبملت 73- شزنگ 67</t>
  </si>
  <si>
    <t>فملی 204- شپدیس 152- فولاد 105- وگردش 83- وغدیر 66</t>
  </si>
  <si>
    <t>1400/10/25</t>
  </si>
  <si>
    <t>شفن 164- پسهند 43- غصینو 42- شراز 38- زاگرس 29</t>
  </si>
  <si>
    <t>فولاد 276- خودرو 265- فملی 159- وبصادر 135- میدکو 118</t>
  </si>
  <si>
    <t>1400/10/26</t>
  </si>
  <si>
    <t>تاصیکو 86- کیمیاتک 82- فنفت 42- کاما 39- چخزر 37</t>
  </si>
  <si>
    <t>سمگا 282- بپاس 269- شپدیس 156- شپنا 111- فولاد 97</t>
  </si>
  <si>
    <t>1400/10/27</t>
  </si>
  <si>
    <t>کمنگنز 121- انرژی سه 39- شپدیس 38- خلنت 31- شاملا 29</t>
  </si>
  <si>
    <t>خودرو 264- فملی 184- سمگا 177- دانا 134- وبصادر 92</t>
  </si>
  <si>
    <t>1400/10/28</t>
  </si>
  <si>
    <t>شصدف 42- فنفت 42- غپاذر 33- شرنگی 19- ونوین 17</t>
  </si>
  <si>
    <t>سمگا 417- وبملت 296- فملی 279- وگردش 216- شپدیس 188</t>
  </si>
  <si>
    <t>1400/10/29</t>
  </si>
  <si>
    <t>شپنا 38- شکام 37- تاپیکو 33- شبریز 32- شغدیر 31</t>
  </si>
  <si>
    <t>فملی 765- توسن 141- وگردش 136- وبملت 110- بپاس 104</t>
  </si>
  <si>
    <t>1400/11/02</t>
  </si>
  <si>
    <t>جم پیلن 119- شبندر 97- تجلی 60- کساوه 51- شغدیر 38</t>
  </si>
  <si>
    <t>فملی 284- سمگا 218- نوری 113- غکورش 107- فجهان 86</t>
  </si>
  <si>
    <t>1400/11/03</t>
  </si>
  <si>
    <t>فافزا 137- واحیا 101- واتی 79- شتران 46- کساوه 24</t>
  </si>
  <si>
    <t>تجلی 962- نوری 439- شبندر 345- سمگا 325- فملی 275</t>
  </si>
  <si>
    <t>1400/11/04</t>
  </si>
  <si>
    <t>قرن39- خگستر 20- انرژی سه 18- های وب 16- بمیلا 15</t>
  </si>
  <si>
    <t>فملی 258- تاپیکو 152- نوری 141- آریان 137- توسن 111</t>
  </si>
  <si>
    <t>1400/11/05</t>
  </si>
  <si>
    <t xml:space="preserve">وفتخار 42-مادیرا 28- فنفت 25- قتربت 14-وسپه 12 </t>
  </si>
  <si>
    <t>فولاد 1500- فملی 1080- نوری 517- وگردش 329- اتکای 299</t>
  </si>
  <si>
    <t>1400/11/06</t>
  </si>
  <si>
    <t>نوری 456- بوعلی 404- شتران 215- فولاد 201- شپنا 136</t>
  </si>
  <si>
    <t>میدکو 286- سمگا 148- فملی 124- پارسان 112- وگردش 111</t>
  </si>
  <si>
    <t>1400/11/09</t>
  </si>
  <si>
    <t>فولاد280-وکبهمن180-شپدیس100-نوری90-واحیا90</t>
  </si>
  <si>
    <t>میدکو210-پاکشو110-شبندر110-بوعلی90-وگردش90</t>
  </si>
  <si>
    <t>1400/11/10</t>
  </si>
  <si>
    <t>نوری600-شاوان310-شتران220-شپدیس190-تپمپی80</t>
  </si>
  <si>
    <t>فولاد500-شپنا280-فملی160-میدکو150-غبشهر150</t>
  </si>
  <si>
    <t>1400/11/11</t>
  </si>
  <si>
    <t>وبملت210-خساپا100-خودرو80-وتجارت80-رنیک80</t>
  </si>
  <si>
    <t>فملی400-شبندر270-شپنا260-وگردش230-شبریز170</t>
  </si>
  <si>
    <t>1400/11/12</t>
  </si>
  <si>
    <t>وبملت460-دتماد420-خساپا90-وتجارت90-بورس60</t>
  </si>
  <si>
    <t>فولاد740-فملی610-شبندر270-شتران230-شپنا210</t>
  </si>
  <si>
    <t>1400/11/13</t>
  </si>
  <si>
    <t>تجلی350-وتجارت130-فاذر70-فرابورس60-انرژی40</t>
  </si>
  <si>
    <t>فملی670-شبندر390-وبصادر340-شپنا300-نوری250</t>
  </si>
  <si>
    <t>1400/11/16</t>
  </si>
  <si>
    <t>تجلی 587- وتجارت 40- وبملت 30- تپمپی 25- غنوش 22</t>
  </si>
  <si>
    <t>فولاد 573- فملی 308- اتکای 144- سمگا 119- خودرو 115</t>
  </si>
  <si>
    <t>1400/11/17</t>
  </si>
  <si>
    <t>مفاخر 39- قرن 21- وتوصا 19- توسن 18- کزغال 15</t>
  </si>
  <si>
    <t>فولاد 2630- فملی 2560- شبندر 656- وبملت 569- شتران 567</t>
  </si>
  <si>
    <t>1400/11/18</t>
  </si>
  <si>
    <t>وتوکا 77- شپدیس 77- تجلی 60- توسن 58- فباهنر 53</t>
  </si>
  <si>
    <t>اتکای 254- خودرو 254- خساپا 182- شاراک 157- سمگا 128</t>
  </si>
  <si>
    <t>1400/11/19</t>
  </si>
  <si>
    <t>تجلی 951- وبملت 538- فباهنر 167- ومعادن 156- وبصادر 83</t>
  </si>
  <si>
    <t>اتکای 223- فولاد 215- شپنا 184- فملی 164- شتران 157</t>
  </si>
  <si>
    <t>1400/11/20</t>
  </si>
  <si>
    <t>فرابورس 119- خپارس 57- وساخت 50- ومعادن 39- فباهنر 39</t>
  </si>
  <si>
    <t>فملی 536- اتکای 371- فولاد 199- شبندر 141- کگل 133</t>
  </si>
  <si>
    <t>1400/11/23</t>
  </si>
  <si>
    <t>تجلی 216- شفا 82- سپید 76- وسکاپ 65- وسپه 61</t>
  </si>
  <si>
    <t>وبملت 322- ومعادن 254- فملی 225- سمگا 157- وتجارت 142</t>
  </si>
  <si>
    <t>1400/11/24</t>
  </si>
  <si>
    <t>سپید 167- آریان 74- توسن 42- غنوش 36- شپاکسا 32</t>
  </si>
  <si>
    <t>تجلی 574- فولاد 387- بپاس 293- اتکای 291- فملی 174</t>
  </si>
  <si>
    <t>1400/11/25</t>
  </si>
  <si>
    <t>تجلی 361- فسبزوار 116- فولاد 107- فرابورس 67- وتوصا 61</t>
  </si>
  <si>
    <t>فملی 387- میدکو 132- شتران 106- فارس 105- شپنا 67</t>
  </si>
  <si>
    <t>1400/11/27</t>
  </si>
  <si>
    <t>تجلی 104- سپید 73- سیمرغ 33- شرنگی 26- تاپیکو 22</t>
  </si>
  <si>
    <t>فملی 367- اتکای 246- فزر 245- شتران 154- شبندر 150</t>
  </si>
  <si>
    <t>1400/11/30</t>
  </si>
  <si>
    <t>وتجارت 231- وبملت 203- ونوین 86- حکشتی 72- وآذر 63</t>
  </si>
  <si>
    <t>فملی 597- فزر 524- فولاد 520- شتران 350- اتکای 203</t>
  </si>
  <si>
    <t>1400/12/01</t>
  </si>
  <si>
    <t>وبملت 417- فرابورس 76- فاما 37- وپست 34- های وب 32</t>
  </si>
  <si>
    <t>فملی 429- فولاد 210- شبندر 155- ومعادن 102- شتران 91</t>
  </si>
  <si>
    <t>1400/12/02</t>
  </si>
  <si>
    <t>وبملت 413- فرابورس 308- خگستر 247- خبهمن 140- خودرو 130</t>
  </si>
  <si>
    <t>فملی 251- خساپا 137- اتکای 123- بپاس 91- ومعادن 79</t>
  </si>
  <si>
    <t>1400/12/03</t>
  </si>
  <si>
    <t>شپنا 276- شبندر 166- حکشتی 150- غبهنوش 76- آریان 74</t>
  </si>
  <si>
    <t>فملی 414- فولاد 205- اتکای 198- وبملت 190- فزر 164</t>
  </si>
  <si>
    <t>1400/12/04</t>
  </si>
  <si>
    <t>کساوه 255- وتعاون 156- وبملت 97- خصدرا 73- شغدیر 72</t>
  </si>
  <si>
    <t>فملی 423- فزر 118- سمگا 106- بپاس 103- اتکای 103</t>
  </si>
  <si>
    <t>1400/12/07</t>
  </si>
  <si>
    <t>آریان 256- شپدیس 161- فباهنر 95- شکام 47- فزر 39</t>
  </si>
  <si>
    <t>وبملت 388- تجلی 327- بپاس 143- وپارس 134- حکشتی 106</t>
  </si>
  <si>
    <t>1400/12/08</t>
  </si>
  <si>
    <t>خلنت 92- فولاد 84- نوری 39- مفاخر 37- حتاید 32</t>
  </si>
  <si>
    <t>فزر 263- خودرو 105- افق 85- شتران 71- ومعادن 63</t>
  </si>
  <si>
    <t>1400/12/09</t>
  </si>
  <si>
    <t>ثشاهد 300- غمینو 143- فولاد 132- پارس 120- فسبزوار 94</t>
  </si>
  <si>
    <t>کسرا 153- فزر 129- بپاس 99- شپنا 86- شبندر 83</t>
  </si>
  <si>
    <t>1400/12/11</t>
  </si>
  <si>
    <t>شستا 488- ثشاهد 222- وغدیر 94- انرژی سه 88- فکمند 63</t>
  </si>
  <si>
    <t>بپاس 266- وبملت 219- فزر 188- وبرق 184- تجلی 174</t>
  </si>
  <si>
    <t>1400/12/14</t>
  </si>
  <si>
    <t>1400/12/15</t>
  </si>
  <si>
    <t>فولاد 583- کچاد 367- شبندر 320- شپدیس 319- شتران 263</t>
  </si>
  <si>
    <t>تجلی 181- حکشتی 137- فزر 121- وپاسار 90- آریان 81</t>
  </si>
  <si>
    <t>1400/12/16</t>
  </si>
  <si>
    <t>شبندر 667- شتران 426- نوری 359- پارسان 319- تجلی 318</t>
  </si>
  <si>
    <t>وبملت 414- بپاس 303- حکشتی 225- شستا 175- خودرو 144</t>
  </si>
  <si>
    <t>1400/12/17</t>
  </si>
  <si>
    <t>تجلی 233- خدیزل 96- شکام 79- فاسمین 79- قزوین 70</t>
  </si>
  <si>
    <t>فملی 308- شبندر 288- فزر 185- شتران 128- وبملت 125</t>
  </si>
  <si>
    <t>1400/12/18</t>
  </si>
  <si>
    <t>شتران 163- خودرو 146- وبملت 124- فولاد 96- پترول 84</t>
  </si>
  <si>
    <t>بپاس 164- شکام 161- فزر 113- شبندر 112- شپنا 109</t>
  </si>
  <si>
    <t>1400/12/21</t>
  </si>
  <si>
    <t>پارس 387- شیراز 367- شپدیس 349- بمیلا 58- هرمز 51</t>
  </si>
  <si>
    <t>وبملت 1280- شبندر 996- شپنا 901- شتران 670- خودرو 616</t>
  </si>
  <si>
    <t>1400/12/22</t>
  </si>
  <si>
    <t>کگل 149- اتکام 149- بالاس 115- شتران 104- کچاد 48</t>
  </si>
  <si>
    <t>وگردش 256- بپاس 165- فملی 154- خودرو 129- خساپا 124</t>
  </si>
  <si>
    <t>1400/12/23</t>
  </si>
  <si>
    <t>تجلی 73- مبین 69- فنفت 42- دکپسول 40- کدما 38</t>
  </si>
  <si>
    <t>شلرد 590- شبندر 283- بپاس 257- شپنا 248- فملی 218</t>
  </si>
  <si>
    <t>1400/12/24</t>
  </si>
  <si>
    <t>خگستر 136- فنفت 127- وبصادر 105- مبین 68- کلر 61</t>
  </si>
  <si>
    <t>شتران 317- شپنا 241- شبندر 232- فملی 169- آریان 123</t>
  </si>
  <si>
    <t>1400/12/25</t>
  </si>
  <si>
    <t>مبین 317- وخارزم 145- حکشتی 124- خودرو 118- خگستر 105</t>
  </si>
  <si>
    <t>فملی 157- سپید 127- ومعادن 98- دماوند 89- تجلی 85</t>
  </si>
  <si>
    <t>1400/12/28</t>
  </si>
  <si>
    <t>وبملت 444- شپنا 393- خودرو 231- وبصادر 214- خگستر 162</t>
  </si>
  <si>
    <t>فملی 171- وبیمه 82- آریان 60- تجلی 53- ومعادن 41</t>
  </si>
  <si>
    <t>1401/01/06</t>
  </si>
  <si>
    <t>شپنا 580- فولاد 501- شتران 292- شپدیس 283- نوری 230</t>
  </si>
  <si>
    <t>خساپا 291- خودرو 283- خبهمن 157- شستا 82- تجلی 74</t>
  </si>
  <si>
    <t>1401/01/07</t>
  </si>
  <si>
    <t>ثشاهد 301- حکشتی 212- خگستر 142- شپدیس 122- واحیا 83</t>
  </si>
  <si>
    <t>فولاد 197- شتران 147- کسرا 124- آریان 121- تجلی 83</t>
  </si>
  <si>
    <t>1401/01/08</t>
  </si>
  <si>
    <t>وبملت 1220- شستا 584- خساپا 389- وبصادر 379- وتجارت 257</t>
  </si>
  <si>
    <t>شبندر 163- ومعادن 100- کسرا 58- فایرا 45- حکشتی 45</t>
  </si>
  <si>
    <t>1401/01/09</t>
  </si>
  <si>
    <t>دتوزیع 145-فرابورس 127- سمگا 78-دلر 62- خصدرا 55</t>
  </si>
  <si>
    <t>خساپا 466 -شتران 376 -شپنا 348 -فولاد 309-شبندر 199</t>
  </si>
  <si>
    <t>1401/01/10</t>
  </si>
  <si>
    <t>کرماشا 696 -خگستر 302- آریا 192-خساپا 164-نوری 152</t>
  </si>
  <si>
    <t>وبملت 177-فملی 143-حکشتی 131-خاور ح188-فولاد 83</t>
  </si>
  <si>
    <t>1401/01/14</t>
  </si>
  <si>
    <t>خودرو 883- فولاد 722- خساپا 589- فملی 552- گدنا 495</t>
  </si>
  <si>
    <t>وبملت 196- شتران 142- فزر 94- وخاور 92- شبندر 92</t>
  </si>
  <si>
    <t>1401/01/15</t>
  </si>
  <si>
    <t>شپنا 1310- وبصادر 437- تملت 99- کگهر 94- پارسیان 94</t>
  </si>
  <si>
    <t>فملی 684- فولاد 673- نوری 225- خساپا 190- شبندر 141</t>
  </si>
  <si>
    <t>1401/01/16</t>
  </si>
  <si>
    <t>شپنا 750- خساپا 280- بورس 175- کنور 119- شنفت 105</t>
  </si>
  <si>
    <t>ومعادن 895- تجلی 182- فولاد 118- رمپنا 114- بپاس109</t>
  </si>
  <si>
    <t>1401/01/17</t>
  </si>
  <si>
    <t>سمگا 578- پترول 243- ولساپا 235- خگستر 185- فپنتا 131</t>
  </si>
  <si>
    <t>شتران 545- ومعادن 394- فملی 363- شبندر 282- خودرو 247</t>
  </si>
  <si>
    <t>1401/01/20</t>
  </si>
  <si>
    <t>شبریز473 -خگستر 198-خبهمن 179-وپارس 117-آریا 117</t>
  </si>
  <si>
    <t>وبملت 422- فملی 390-خودرو 328-خساپا 250-شتران 209</t>
  </si>
  <si>
    <t>1401/01/21</t>
  </si>
  <si>
    <t>وبصادر 1050- وتجارت 286- خودرو 251- آریا 233- خساپا 200</t>
  </si>
  <si>
    <t>خگستر 387- شپنا 384- فوکا 110- وپاسار 101- شبریز 99</t>
  </si>
  <si>
    <t>1401/01/22</t>
  </si>
  <si>
    <t>خبهمن 720- شسپا 218- آریا 204- همراه 148- شبهرن 122</t>
  </si>
  <si>
    <t>خساپا 403- وبملت 289- فولاد 280- فملی 208- شبندر 182</t>
  </si>
  <si>
    <t>1401/01/23</t>
  </si>
  <si>
    <t>وساپا 485- ورنا 440- کهمدا 104- کیمیا 99- وآذر 96</t>
  </si>
  <si>
    <t>فولاد 1080- شبندر 715- تجلی 650- شتران 426- ملت 334</t>
  </si>
  <si>
    <t>1401/01/24</t>
  </si>
  <si>
    <t>خبهمن 529- وساپا 247- شتران 244- کیمیاتک 178- شبریز 165</t>
  </si>
  <si>
    <t>خگستر 436- کنور 187- فولاد 133- فملی 131- وسپه 112</t>
  </si>
  <si>
    <t>1401/01/27</t>
  </si>
  <si>
    <t>وتوصا 966- آریا 206- شکام 161- ورنا 156- غدیس 132</t>
  </si>
  <si>
    <t>فولاد 285- فملی 247- بپاس 137- خساپا 109- وسپه 95</t>
  </si>
  <si>
    <t>1401/01/28</t>
  </si>
  <si>
    <t>وتوصا 541- آریا 412-شجم  223-  نوری 219-همراه 200</t>
  </si>
  <si>
    <t>فولاد 230-فملی 224-گنگین 222- شتران 192 - خبهمن 182</t>
  </si>
  <si>
    <t>1401/01/29</t>
  </si>
  <si>
    <t>پارسان 538- شستا 402- وبانک 280- شپدیس 212- ومهان 210</t>
  </si>
  <si>
    <t>حفارس 356- های وب 192- شگویا 166- وآذر 141- شتران 99</t>
  </si>
  <si>
    <t>1401/01/30</t>
  </si>
  <si>
    <t>چکارن 169- شپنا 166- فپنتا 155- والبر 127- خزامیا 125</t>
  </si>
  <si>
    <t>فملی 351- شتران 187- وسبحان 138- شستا 118- شگویا 93</t>
  </si>
  <si>
    <t>1401/01/31</t>
  </si>
  <si>
    <t>وتوصا 378- خساپا 255- وپارس 215- خگستر 193- وبانک 97</t>
  </si>
  <si>
    <t>فملی 477- فولاد 172- شتران 155- شستا 143- فسبزوار 134</t>
  </si>
  <si>
    <t>1401/02/04</t>
  </si>
  <si>
    <t>وکبهمن 90- پکویر 79- سپید 75- شاراک 58- وتوصا 56</t>
  </si>
  <si>
    <t>فملی 345- فولاد 234- بپاس 191- شکام 186- شتران 139</t>
  </si>
  <si>
    <t>1401/02/05</t>
  </si>
  <si>
    <t>فزر 812- فاراک 566- رمپنا 181- بترانس 170- زاگرس 169</t>
  </si>
  <si>
    <t>فملی 273- آریا 169- شتران 162- بپاس 159- فولاد 158</t>
  </si>
  <si>
    <t>1401/02/06</t>
  </si>
  <si>
    <t>خساپا 581- غشهداب 554- ورنا 390- شپنا 361- خودرو 130</t>
  </si>
  <si>
    <t>شستا 227- فملی 223- آریا 147- شبندر 136- رمپنا 133</t>
  </si>
  <si>
    <t>1401/02/07</t>
  </si>
  <si>
    <t>وساپا 333- خگستر 252- ثامید 211- خزامیا 202- نوری 78</t>
  </si>
  <si>
    <t>فملی 369- فولاد 352- شستا 313- شبندر 223- وگردش 198</t>
  </si>
  <si>
    <t>1401/02/10</t>
  </si>
  <si>
    <t>خزامیا 223- پردیسح 175 - حکشتی 166 - بهپاک 148 - غزر 137</t>
  </si>
  <si>
    <t>فملی 338 -فولاد 259 - شبندر 192 - خگستر 169 -تاپیکو 140</t>
  </si>
  <si>
    <t>1401/02/11</t>
  </si>
  <si>
    <t>1401/02/12</t>
  </si>
  <si>
    <t>پارسیان 482- شپنا 447- حکشتی 110- فاراک 98- شبریز 91</t>
  </si>
  <si>
    <t>فملی 357- البرز 150- وتجارت 89- کطبس 86- خگستر 82</t>
  </si>
  <si>
    <t>1401/02/17</t>
  </si>
  <si>
    <t>شپنا 1460- شبندر 340- وبملت 236- شتران 231- بوعلی 165</t>
  </si>
  <si>
    <t>های وب 357- فملی 344- حکشتی 171- بپاس 152- البرز 116</t>
  </si>
  <si>
    <t>1401/02/18</t>
  </si>
  <si>
    <t>خساپا 250- زگلدشت 209- فخوز 159- فزر 132- فولاد 130</t>
  </si>
  <si>
    <t>شتران 220- البرز 168- شبندر 132- خگستر 127- تاپیکو 107</t>
  </si>
  <si>
    <t>1401/02/19</t>
  </si>
  <si>
    <t>جم 493 - کقزوی 447 - خپارس 191 - زاگرس 134 -فخوز 115</t>
  </si>
  <si>
    <t>فملی 381 - شبندر 309- خگستر 282 - شتران273  - بپاس 233</t>
  </si>
  <si>
    <t>1401/02/20</t>
  </si>
  <si>
    <t>1401/02/21</t>
  </si>
  <si>
    <t>ملت 377- وغدیر 238- حکشتی 229- شپاکسا 200- فزر 187</t>
  </si>
  <si>
    <t>شستا 322- شبندر 229- فولاد 139- ختوقا 136- شتران 132</t>
  </si>
  <si>
    <t>1401/02/24</t>
  </si>
  <si>
    <t>فزر 463- تاپیکو 286- ملت 273- وبانک 270- سپید 206</t>
  </si>
  <si>
    <t>وبملت 262- بپاس 231- میدکو 205- فملی 193- شستا 181</t>
  </si>
  <si>
    <t>1401/02/25</t>
  </si>
  <si>
    <t>غبشهر 188- وبشهر 177- شکام 166- غویتا 140- حگهر 136</t>
  </si>
  <si>
    <t>شپنا 446- شتران 297- وبملت 249- شبندر 234- شستا 227</t>
  </si>
  <si>
    <t>1401/02/26</t>
  </si>
  <si>
    <t>فملی 467 - فولاد 375 - مدیریت 288 - فخوز 285 - ثشاهد 245</t>
  </si>
  <si>
    <t>بپاس 419 -شستا 255 -شتران 180 -شبندر 129 -غکورش 108</t>
  </si>
  <si>
    <t>1401/02/27</t>
  </si>
  <si>
    <t>حگهر 486- کچاد 442- فزر 390- پارس 362- مدیریت 292</t>
  </si>
  <si>
    <t>سپید 717- بپاس 383- شستا 279- وصندوق 222- شتران 174</t>
  </si>
  <si>
    <t>1401/02/28</t>
  </si>
  <si>
    <t>مدیریت  291 -حگهر  214  -قرن   159 -ورنا  111  -خگستر 94</t>
  </si>
  <si>
    <t>فملی    511-ومعادن 313 -فولاد  284 -شستا    186- آسیاتک 182</t>
  </si>
  <si>
    <t>1401/02/31</t>
  </si>
  <si>
    <t>خبنیان 380- تماوند 205- غکورش 204- وآفر 187- ورنا 168</t>
  </si>
  <si>
    <t>بوعلی 442- فوکا 412- فولاد 374- شبندر 329 -فملی 284</t>
  </si>
  <si>
    <t>1401/03/01</t>
  </si>
  <si>
    <t>قاروم 351- مدیریت 343- افرا 289- حگهر 247- شبریز 243</t>
  </si>
  <si>
    <t>فولاد 334- شبندر 328- فملی 254- وبملت 196- خگستر 195</t>
  </si>
  <si>
    <t>1401/03/02</t>
  </si>
  <si>
    <t>فروسیل 1180- سفار 54- میدکو 50- وآذر 44- آسیاتک 40</t>
  </si>
  <si>
    <t>فولاد 960- خگستر 698- فملی 674- شپنا 561- شبندر 517</t>
  </si>
  <si>
    <t>1401/03/03</t>
  </si>
  <si>
    <t>رمپنا 253- بمپنا 147- سامان 113- تفارس 96- سکرد 85</t>
  </si>
  <si>
    <t>شبندر 231- خگستر 302- فولاد 299- شتران 248- وبملت 239</t>
  </si>
  <si>
    <t>1401/03/04</t>
  </si>
  <si>
    <t>شپنا 640- اخابر 341- سابیک 332- شبریز 235- وخارزم 175</t>
  </si>
  <si>
    <t>وبملت 361- فملی 180- فولاد 153- بپاس 112- خودرو 88</t>
  </si>
  <si>
    <t>1401/03/07</t>
  </si>
  <si>
    <t>سابیک 511- بمپنا 316- آسیاتک 292- فولای 157- فغدیر 95</t>
  </si>
  <si>
    <t>وبملت 478- فملی 354- بپاس 293- فولاد 233- شبندر 216</t>
  </si>
  <si>
    <t>1401/03/08</t>
  </si>
  <si>
    <t>سابیک 850- ومعادن 187- حگهر 145- فغدیر 72- وسینا 54</t>
  </si>
  <si>
    <t>فملی 393- فایرا 367- حکشتی 345- شبندر 300- شپنا 281</t>
  </si>
  <si>
    <t>1401/03/09</t>
  </si>
  <si>
    <t>نوری 551- شبصیر 145- شغدیر 117- فغدیر 103- شرنگی 78</t>
  </si>
  <si>
    <t>وبملت 498- بپاس 268- فملی 249- شتران 194- وبصادر 154</t>
  </si>
  <si>
    <t>1401/03/10</t>
  </si>
  <si>
    <t>فغدیر 1800- جم 157- غزر 108- سکرد 77- کرماشا 55</t>
  </si>
  <si>
    <t>بپاس 312- فملی 204- وبملت 201- تاپیکو 142- وبصادر 80</t>
  </si>
  <si>
    <t>1401/03/11</t>
  </si>
  <si>
    <t>زاگرس 446- های وب 186- وپارس 88- وسبحان 74- سیستم 46</t>
  </si>
  <si>
    <t>فغدیر 307- شستا 221- فملی 186- شپنا 160- بپاس 148</t>
  </si>
  <si>
    <t>1401/03/16</t>
  </si>
  <si>
    <t>بفجر 349- مبین 50- آسیاتک 45- وپترو 30- فمراد 27</t>
  </si>
  <si>
    <t>وبملت 540- فملی 523- شپنا 315- زاگرس 288- ورنا 270</t>
  </si>
  <si>
    <t>1401/03/17</t>
  </si>
  <si>
    <t>کایزد 187- سپاها 91- آسیاتک 56- سکارون 53- فاسمین 51</t>
  </si>
  <si>
    <t>فملی 352- حکشتی 287- وبملت 228- شستا 190- بپاس 187</t>
  </si>
  <si>
    <t>1401/03/18</t>
  </si>
  <si>
    <t>کایزد247 -فولاد 140 -ددانا 118-کشرق109 - سپاها 100</t>
  </si>
  <si>
    <t>وبملت 306-فملی 237 - سامان 203 -شپنا 196- بپاس 176</t>
  </si>
  <si>
    <t>1401/03/21</t>
  </si>
  <si>
    <t>وآذر 202- قاسم 139- فسازان 135- کایزد 101- مداران 85</t>
  </si>
  <si>
    <t>فملی 356- شبندر 276- فولاد 244- شستا 223- شپنا 215</t>
  </si>
  <si>
    <t>1401/03/22</t>
  </si>
  <si>
    <t xml:space="preserve">فزر 830-فولاد 299 -بوعلی 269 -شپنا 267-شتران 241 </t>
  </si>
  <si>
    <t>فایرا 284 -سامان 207 -وپاسار 123-شستا 121-فملی 97</t>
  </si>
  <si>
    <t>1401/03/23</t>
  </si>
  <si>
    <t>فولاد 707- پارس 301- نوری 226- فخوز 201- فزر 158</t>
  </si>
  <si>
    <t>بپاس 239- وبملت 230- فملی 163- خبنیان 163- شتران 124</t>
  </si>
  <si>
    <t>1401/03/24</t>
  </si>
  <si>
    <t>میدکو 540- فخوز 188- پارس 115- ومعادن99- وساپا 97</t>
  </si>
  <si>
    <t>وبملت 346- حکشتی 339- شستا 335- بپاس 292- فولاد 246</t>
  </si>
  <si>
    <t>1401/03/25</t>
  </si>
  <si>
    <t>مبین 140- خزامیا 137- بفجر 89- کنور 61- مداران 52</t>
  </si>
  <si>
    <t>وبملت 429- تاصیکو 277- فملی 229- بپاس 221- شبندر 146</t>
  </si>
  <si>
    <t>1401/03/28</t>
  </si>
  <si>
    <t>ثعمرا 106- افق 98- خبنیان 42- شبندر 40- خکرمان 37</t>
  </si>
  <si>
    <t>وبملت 1320- فملی 448- شپنا 380- حکشتی 299- میدکو 294</t>
  </si>
  <si>
    <t>1401/03/29</t>
  </si>
  <si>
    <t>سمگا 516-دی321 -خزامیا 129-مبین 117-پارس104</t>
  </si>
  <si>
    <t>وبملت -1281-نوری 779-شپنا 270-بپاس 242-فملی 170</t>
  </si>
  <si>
    <t>1401/03/30</t>
  </si>
  <si>
    <t>های وب 750- حکشتی 199- سپاها 126- وساپا 99- سیتا86</t>
  </si>
  <si>
    <t>تفارس 657- شتران 220- فملی 179- آسیاتک 144- وغدیر 131</t>
  </si>
  <si>
    <t>1401/03/31</t>
  </si>
  <si>
    <t>وخاور 145- وآذر 125- فتوسا 104- حکشتی 100- ورنا 53</t>
  </si>
  <si>
    <t>تاصیکو 220- تفارس 186- بپاس 169- خزامیا 148- شپنا 147</t>
  </si>
  <si>
    <t>1401/04/01</t>
  </si>
  <si>
    <t>ورنا 138- حکشتی 118- غزر 75- شاوان 73- فملی 53</t>
  </si>
  <si>
    <t>بپاس 313- فولاد 225- شپنا 160- شستا 135- غگل 118</t>
  </si>
  <si>
    <t>1401/04/04</t>
  </si>
  <si>
    <t>ورنا 269- خگستر 230- کنور 54- وساپا 54- ثفارس 52</t>
  </si>
  <si>
    <t>شپنا 332- فولاد 245- فملی 182- بپاس 166- فاسمین 161</t>
  </si>
  <si>
    <t>1401/04/05</t>
  </si>
  <si>
    <t>تایرا 223- وساپا 115- مداران 87- بوعلی 73- شاراک 64</t>
  </si>
  <si>
    <t>شپنا 324- فولاد 272- شبندر 222- شستا 177- آسیاتک 152</t>
  </si>
  <si>
    <t>1401/04/06</t>
  </si>
  <si>
    <t>غبشهر 122- ختراک 97- شاراک 96- نوری 92- حکشتی 77</t>
  </si>
  <si>
    <t>بپاس 467- فولاد 227- پارس 202- خزامیا 181- شپنا 154</t>
  </si>
  <si>
    <t>1401/04/07</t>
  </si>
  <si>
    <t>حکشتی 368- تایرا 277- وبملت 158- شپدیس 66- زاگرس 56</t>
  </si>
  <si>
    <t>شپنا 231- شستا 215- فارس 209- بپاس 192- رمپنا 187</t>
  </si>
  <si>
    <t>1401/04/08</t>
  </si>
  <si>
    <t>وبملت 221- وساپا 96- بفجر 89- مبین 47- وبانک 43</t>
  </si>
  <si>
    <t>شپنا 724- خگستر 451- شفا 222- خودرو 188- شستا 187</t>
  </si>
  <si>
    <t>1401/04/11</t>
  </si>
  <si>
    <t>شسپا 117- ثفارس 71- فزر 47- تلیسه 37- شرانل 36</t>
  </si>
  <si>
    <t>شپنا 528- خودرو 296- خساپا 234- وساپا 213- شستا 222</t>
  </si>
  <si>
    <t>1401/04/12</t>
  </si>
  <si>
    <t>خزامیا 144- کحافظ 137- مبین 76- ستران 65-  نوری 55</t>
  </si>
  <si>
    <t>بپاس 264- وبملت 131- فملی 128- فولاد 103- خودرو</t>
  </si>
  <si>
    <t>1401/04/13</t>
  </si>
  <si>
    <t>وساپا 245- ورنا 65- شاملا 63- شفا 54- خزامیا 53</t>
  </si>
  <si>
    <t>شپنا 282- بپاس 167- شستا 146- شاراک 138- فملی 116</t>
  </si>
  <si>
    <t>1401/04/14</t>
  </si>
  <si>
    <t>بوعلی 350- شبندر 217- شاوان 125- شفا 99- نوری 76</t>
  </si>
  <si>
    <t>بپاس 237- خودرو 191- شپنا 162- سکرما 146- شستا 144</t>
  </si>
  <si>
    <t>1401/04/15</t>
  </si>
  <si>
    <t>خچرخش 74- سهرمز 48- دانا 43- وسکاب 27- شپدیس 25</t>
  </si>
  <si>
    <t>شپنا 252- شستا 241- فولاد 178- فملی 172- بپاس 166</t>
  </si>
  <si>
    <t>1401/04/18</t>
  </si>
  <si>
    <t>میدکو 560- غزر 190- وصندوق 55- وپترو 34- غدشت 26</t>
  </si>
  <si>
    <t>بپاس 353- دی 258 - شستا 244- شپنا 201-خودرو 198</t>
  </si>
  <si>
    <t>1401/04/20</t>
  </si>
  <si>
    <t>فولاد 426- شرانل 56- مداران 31- سهرمز 27- میدکو 27</t>
  </si>
  <si>
    <t>شپنا 386- شستا 383- دی 335- شاوان 277- شبندر 189</t>
  </si>
  <si>
    <t>1401/04/21</t>
  </si>
  <si>
    <t>فولاد 255 - خودرو 45 - ورنا 28 - فرابورس 22 - بفجر 21</t>
  </si>
  <si>
    <t>تفارس 206 - شپنا 195 - شبندر 191 - شستا 188 - دی 164</t>
  </si>
  <si>
    <t>1401/04/22</t>
  </si>
  <si>
    <t>شاوان 146- شبندر 119- شپدیس 61- بمپنا 49- خساپا 37</t>
  </si>
  <si>
    <t>دی 314- کسرا 229- شستا 149- شپنا 112- وساخت 90</t>
  </si>
  <si>
    <t>1401/04/25</t>
  </si>
  <si>
    <t>وساپا 190- شپدیس 99- بمپنا 83- دتماد 65- درازک 65</t>
  </si>
  <si>
    <t>دی 422- افق 232- شستا 184- شتران 180- وبملت 125</t>
  </si>
  <si>
    <t>1401/04/26</t>
  </si>
  <si>
    <t>خدیزل 64- وساپا 40- دتوزیع 33- بفجر 32- زاگرس 20</t>
  </si>
  <si>
    <t>دی 523- شستا 195- میدکو 153- فارس 140- وآذر 91</t>
  </si>
  <si>
    <t>1401/04/28</t>
  </si>
  <si>
    <t>شپدیس 35- شسپا 31- غگلستا 30- فزر 26- سکرد 26</t>
  </si>
  <si>
    <t>نوری 278- شستا 158- خگستر 156- کگل 150- میدکو 114</t>
  </si>
  <si>
    <t>1401/04/29</t>
  </si>
  <si>
    <t>غویتا 111-شپدیس 110- وتجارت 88- قیستو 87-غمینو 51</t>
  </si>
  <si>
    <t>نوری 128 -شستا 102-وحافظ 50- کچاد 49- آریا 48</t>
  </si>
  <si>
    <t>1401/05/01</t>
  </si>
  <si>
    <t>وبملت 387- تاپیکو 384- پارسان 259- شپدیس 240- کرماشا 136</t>
  </si>
  <si>
    <t>شستا 256- بپاس 255- ومعادن 196- مبین 165- کگل 110</t>
  </si>
  <si>
    <t>1401/05/02</t>
  </si>
  <si>
    <t>شبندر 587- وبملت 90- شپدیس 75- سکرد 45- وساپا 37</t>
  </si>
  <si>
    <t>شاوان 285- نوری 181- فولاد 143- بوعلی 129- کچاد 115</t>
  </si>
  <si>
    <t>1401/05/03</t>
  </si>
  <si>
    <t>پشاهن 36- لپارس 29- زپارس 25- سمگا 16- قیستو 13</t>
  </si>
  <si>
    <t>شپنا 366- خودرو 209- نوری 186- وبملت 172- حکشتی 169</t>
  </si>
  <si>
    <t>1401/05/04</t>
  </si>
  <si>
    <t>آبین 118- غمینو 32- کاوه 31- سصوفی 26- ولکار 22</t>
  </si>
  <si>
    <t>شستا 136- فارس 120- فملی 109- خودرو 106- فجام 92</t>
  </si>
  <si>
    <t>1401/05/05</t>
  </si>
  <si>
    <t>حتاید 328- نوری 167- شپدیس 137- غبشهر 106- وبرق 81</t>
  </si>
  <si>
    <t>شتران 152- شبندر 149- کسرام 128- حکشتی 122- شاوان 76</t>
  </si>
  <si>
    <t>1401/05/08</t>
  </si>
  <si>
    <t>شراز 312- فولاد 68- سامان 62- شبریز 41- شپدیس 33</t>
  </si>
  <si>
    <t>شپنا 168- دی 153- شستا 141- وبملت 131- وساپا 112</t>
  </si>
  <si>
    <t>1401/05/09</t>
  </si>
  <si>
    <t>شپدیس 58- سکرد 56- خبنیان 54- خساپا 38- شبریز 29</t>
  </si>
  <si>
    <t>شبندر 376- شپنا 329- آسیاتک 198- تفارس 190- شتران 190</t>
  </si>
  <si>
    <t>1401/05/10</t>
  </si>
  <si>
    <t>فزر 35- مداران 30- سهرمز 27- شراز 25- خساپا 25</t>
  </si>
  <si>
    <t>خگستر 185- شفن 167- بپاس 108- شتران 107- تفارس 101</t>
  </si>
  <si>
    <t>1401/05/11</t>
  </si>
  <si>
    <t>فزر 994- وغدیر 98- فتوسا 65- آسیاتک 65- کحافظ 59</t>
  </si>
  <si>
    <t>شبندر 266- خگستر 202- مبین 158- شپنا 114- شستا 112</t>
  </si>
  <si>
    <t>1401/05/12</t>
  </si>
  <si>
    <t>های وب 203- وبملت 72- شپدیس 59- کایزد 56- وخاور 52</t>
  </si>
  <si>
    <t>فملی 115- فجام 113- شستا 113- حکشتی 73- دماوند 53</t>
  </si>
  <si>
    <t>1401/05/15</t>
  </si>
  <si>
    <t>فزر 291- وبملت 257- تاصیکو 227- وبصادر 164- جم 147</t>
  </si>
  <si>
    <t>شبندر 281- شپنا 250- شستا 155- وبرق 92- کحافظ 37</t>
  </si>
  <si>
    <t>1401/05/18</t>
  </si>
  <si>
    <t>فولاد 121- سهرمز 53- بپاس 45- کایزد 42- کالا 36</t>
  </si>
  <si>
    <t>خساپا 353- شپنا 260- وساپا 149- وبملت 148- شستا 129</t>
  </si>
  <si>
    <t>1401/05/19</t>
  </si>
  <si>
    <t>فزر 113- فولاد 89- شفن 84- غویتا 66- اتکای 61</t>
  </si>
  <si>
    <t>خساپا 142- شپنا 141- فملی 139- وبملت 123- آریان 89</t>
  </si>
  <si>
    <t>1401/05/22</t>
  </si>
  <si>
    <t xml:space="preserve">وبملت 562  -فولاد  279-شستا  214-خودرو167  -سمگا 106  </t>
  </si>
  <si>
    <t xml:space="preserve">نوری117 -وسالت 107 -فجام100  - بوعلی76  -بپاس76 </t>
  </si>
  <si>
    <t>1401/05/23</t>
  </si>
  <si>
    <t>ورنا 181- وبانک 126- فولاد 102- شاراک 93- حگهر 82</t>
  </si>
  <si>
    <t>تفارس 242- آریان 227- شستا 220- وبملت 86- آسیاتک 77</t>
  </si>
  <si>
    <t>1401/05/24</t>
  </si>
  <si>
    <t>ذوب 317- وبملت 240- اخابر 202- ورنا 145- خساپا 129</t>
  </si>
  <si>
    <t>وبانک 324- آریان 131- شپنا 112- فجام 93- بپاس 74</t>
  </si>
  <si>
    <t>1401/05/25</t>
  </si>
  <si>
    <t>پترول 197- اخابر 160- ذوب 149- خساپا 126- ورنا 80</t>
  </si>
  <si>
    <t>شپنا 367- آریان 225- فجام 93- شستا 88- تفارس 79</t>
  </si>
  <si>
    <t>1401/05/26</t>
  </si>
  <si>
    <t>خساپا 705- وساپا 80- سمگا 77- اتکام 70- خاور 59</t>
  </si>
  <si>
    <t>شپنا 393- های وب 195- پترول 139- حکشتی 111- فاسمین 100</t>
  </si>
  <si>
    <t>1401/05/29</t>
  </si>
  <si>
    <t>حفارس194  - فپنتا 78 -شراز56  -مادیرا 43 -سمگا 32</t>
  </si>
  <si>
    <t>های وب 272  -خساپا 181 -خگستر 153-  وساپا 108 -وبملت   101</t>
  </si>
  <si>
    <t>1401/05/30</t>
  </si>
  <si>
    <t>فخوز 60- سامان 55- شپدیس 54- اوان 48- بورس 38</t>
  </si>
  <si>
    <t>وامید 155- های وب 143- فمراد 107- شستا 102- تفارس 84</t>
  </si>
  <si>
    <t>1401/05/31</t>
  </si>
  <si>
    <t>فزر 176 -زاگرس 133 -آسیاتک  91-وساپا 77  -اوان 64</t>
  </si>
  <si>
    <t xml:space="preserve">های وب 251- فولاد 195  -خساپا  194 -کهمدا  114 -شپنا 103  </t>
  </si>
  <si>
    <t>1401/06/01</t>
  </si>
  <si>
    <t>حکشتی 372- سمگا 148- خزامیا 120- کالا 88- شبندر 84</t>
  </si>
  <si>
    <t>مبین 130- های وب 123- بپاس 65- تفارس 61- تپمپی 45</t>
  </si>
  <si>
    <t>1401/06/02</t>
  </si>
  <si>
    <t>1401/06/05</t>
  </si>
  <si>
    <t>شپدیس 260- فزر 166- استقلال 151- دسبحا 123- شبندر 94</t>
  </si>
  <si>
    <t>های وب 296- شستا 258- خساپا 222- وبملت 140- تاصیکو 108</t>
  </si>
  <si>
    <t>1401/06/06</t>
  </si>
  <si>
    <t>فزر 175- ونیرو 82- وغدیر 72- کچاد 57- وبهمن 48</t>
  </si>
  <si>
    <t>خودرو 164- خساپا 160- وبملت 146- فارس 109- شستا 107</t>
  </si>
  <si>
    <t>1401/06/07</t>
  </si>
  <si>
    <t>وبانک 238- ذوب 220- خراسان 132- ساربیل 120- خبهمن 88</t>
  </si>
  <si>
    <t>شستا 142- بپاس 94- فارس 86- وپاسار 73- میدکو 52</t>
  </si>
  <si>
    <t>1401/06/08</t>
  </si>
  <si>
    <t>بهپاک112 - کحافظ78 -کالا67  -بالبر 58 -کمنگنز49</t>
  </si>
  <si>
    <t>شستا 167-خساپا 134-خودرو 107-قشرین95- شپنا92</t>
  </si>
  <si>
    <t>1401/06/09</t>
  </si>
  <si>
    <t>پرسپولیس 94- وغدیر 78- شپدیس 69- فسازان 65- بجهرم 48</t>
  </si>
  <si>
    <t>بپاس 261- شپنا 254- خساپا 245- خودکفا 116- پترول 105</t>
  </si>
  <si>
    <t>1401/06/12</t>
  </si>
  <si>
    <t>فپنتا 173- شپدیس 93- کترام 38- دانا 35- پارسان 34</t>
  </si>
  <si>
    <t>حکشتی 343- خساپا 185- وبملت 173- شستا 156- کالا 144</t>
  </si>
  <si>
    <t>1401/06/13</t>
  </si>
  <si>
    <t>فپنتا 94- سمگا 83- کترام 72- خاور 39- مادیرا 33</t>
  </si>
  <si>
    <t>پترول 110- شپنا 102- شستا 94- شپدیس 82- فارس 81</t>
  </si>
  <si>
    <t>1401/06/14</t>
  </si>
  <si>
    <t>اخابر 493- خاور 435- خصدرا 152- کلوند 66- ثنور 65</t>
  </si>
  <si>
    <t>شستا 103- شپنا 102- سامان 101- وغدیر 90- بپاس 89</t>
  </si>
  <si>
    <t>1401/06/15</t>
  </si>
  <si>
    <t>آسیاتک 254- خدیزل 128- های وب 126- خزامیا 79- کترام 41</t>
  </si>
  <si>
    <t>خساپا 111- فارس 105- شپدیس 91- خودرو 71- شستا 60</t>
  </si>
  <si>
    <t>1401/06/16</t>
  </si>
  <si>
    <t>آسیاتک 139- قشرین 97- فولاد 71- حفارس 61- واحیا 55</t>
  </si>
  <si>
    <t>خاور 165- خساپا 137- شپنا 130- شستا 126- کازرو 115</t>
  </si>
  <si>
    <t>1401/06/19</t>
  </si>
  <si>
    <t>درازی 291- خکرمان 71- سمگا 48- کایزد 46- فنفت 39</t>
  </si>
  <si>
    <t>حکشتی 551- شستا 170- های وب 158- شتران 151- خساپا 136</t>
  </si>
  <si>
    <t>1401/06/20</t>
  </si>
  <si>
    <t xml:space="preserve">زپارس 188  -خکاوه  69 -  کشرق 62   -انرژی3   57  -خکرمان   56 </t>
  </si>
  <si>
    <t xml:space="preserve">وپاسار 154   -بپاس  149--حکشتی  145  -میدکو  96   -تفارس 94 </t>
  </si>
  <si>
    <t>1401/06/21</t>
  </si>
  <si>
    <t>فولاد  123 -فخوز 56   -شبندر 47   -نوری  33  -شکام 33</t>
  </si>
  <si>
    <t>بپاس  246  -شستا  166   -پترول  116   -های وب 107  -صبا 241</t>
  </si>
  <si>
    <t>1401/06/22</t>
  </si>
  <si>
    <t>خودرو  218  -فولاد 138   -کزغالح 105  -کگاز  105  -صبا  103</t>
  </si>
  <si>
    <t>خوساز 108   -بپاس  116  -سامان 76    -پترول  75   -آریان 73</t>
  </si>
  <si>
    <t>1401/06/23</t>
  </si>
  <si>
    <t>کزغال ح  230  -فگستر ح 180  -تمحرکه93  -غاذر88  -خمحور84</t>
  </si>
  <si>
    <t>آسیا تک  182-خساپا 141 -بپاس 88  -تملت 81    -گنگین 69</t>
  </si>
  <si>
    <t>1401/06/27</t>
  </si>
  <si>
    <t>قشرین78  -قیستو78  -سمگا70   -خدیزل 59 -فگسترح 50</t>
  </si>
  <si>
    <t>تفارس  209  -بپاس  168 -شپنا   157-شستا 139  -های وب138</t>
  </si>
  <si>
    <t>1401/06/28</t>
  </si>
  <si>
    <t>خاور 159- کزغال 97- واحصا 55- خساپا 50- فپنتا 43</t>
  </si>
  <si>
    <t>آریان 129- شستا 119- انرژی سه 110- بپاس 81- خپویش 78</t>
  </si>
  <si>
    <t>1401/06/29</t>
  </si>
  <si>
    <t>ودانا 712- خاور 65- حریل 61- ولشرق 55- فنوال 39</t>
  </si>
  <si>
    <t>بپاس 107- خصدرا 102- شستا 91- فملی 83- شتران 80</t>
  </si>
  <si>
    <t>1401/06/30</t>
  </si>
  <si>
    <t>فولاد 65- فرابورس 46- شکربن 40- وبصادر 39- کالا 37</t>
  </si>
  <si>
    <t>بپاس 110- خودرو 104- فپنتا 97- شستا 94- وبملت 85</t>
  </si>
  <si>
    <t>1401/07/02</t>
  </si>
  <si>
    <t>وسالت 45- فرابورس 27- ولکار 24- ختور 21- اتکام 21</t>
  </si>
  <si>
    <t>حکشتی 291- بپاس 232- شستا 226- های وب 222- فملی 216</t>
  </si>
  <si>
    <t>1401/07/04</t>
  </si>
  <si>
    <t>فولاد 95- فرابورس 56- غویتا 54- ورنا 50- ونوین 34</t>
  </si>
  <si>
    <t>بپاس 296- خودرو 128- وغدیر 85- ولشرق 78- مبین 71</t>
  </si>
  <si>
    <t>1401/07/06</t>
  </si>
  <si>
    <t>نوری 206- پکرمان 159- ودی 105- شپدیس 97- فولاد 78</t>
  </si>
  <si>
    <t>بپاس 232- خودرو 221- دی 58- کیمیاتک 43- وپاسار 42</t>
  </si>
  <si>
    <t>1401/07/09</t>
  </si>
  <si>
    <t>خدیزل 87- گدنا 26- میهن 22- میدکو 12- غشاذر 4</t>
  </si>
  <si>
    <t>خودرو 314- بپاس 213- خساپا 201- شپنا 174- وبملت 174</t>
  </si>
  <si>
    <t>1401/07/10</t>
  </si>
  <si>
    <t>غویتا 62- گدنا 27- دسبحان 24- خگستر 15- کاذر 15</t>
  </si>
  <si>
    <t>بپاس 699- خودرو 136- شپنا 133- تفارس 130- شستا 110</t>
  </si>
  <si>
    <t>1401/07/11</t>
  </si>
  <si>
    <t>سخوز 60- دسبحان 55- اوان 54- زنگان 48- خزامیا 45</t>
  </si>
  <si>
    <t>بپاس 358- خودرو 98- شتران 97- دانا 88- وپاسار 76</t>
  </si>
  <si>
    <t>1401/07/12</t>
  </si>
  <si>
    <t>شکام 71- فرابورس 37- اوان 34- شبندر 31- فپنتا 31</t>
  </si>
  <si>
    <t>حکشتی 203- وبملت 148- بپاس 136- میدکو 114- بفجر 70</t>
  </si>
  <si>
    <t>1401/07/16</t>
  </si>
  <si>
    <t>1401/07/17</t>
  </si>
  <si>
    <t>وطوبی 61- غنوش 48- سصفها 38- دیران 11- ثپردیس 10</t>
  </si>
  <si>
    <t>شپنا 362- شستا 305- بپاس 302- حکشتی 266- خساپا 220</t>
  </si>
  <si>
    <t>1401/07/18</t>
  </si>
  <si>
    <t>وطوبی 196- کشرق 105- غویتا 60- شاوان 60- شتران 31</t>
  </si>
  <si>
    <t>بپاس 316- شستا 170- میدکو 141- وپاسار 113- فملی 92</t>
  </si>
  <si>
    <t>1401/07/19</t>
  </si>
  <si>
    <t>کشرق 159- وخاور 92- فولاد 65- بفجر 58- اوان 37</t>
  </si>
  <si>
    <t>غزر 827- بپاس 197- ونوین 148- میدکو 121- شستا 84</t>
  </si>
  <si>
    <t>1401/07/20</t>
  </si>
  <si>
    <t>وخاور 172- شپدیس 90- وآذر 55- فملی 42- فارس 37</t>
  </si>
  <si>
    <t>غزر 1200- بپاس 150- ولشرق 89- شپنا 87- خودرو 82</t>
  </si>
  <si>
    <t>1401/07/23</t>
  </si>
  <si>
    <t>1401/07/24</t>
  </si>
  <si>
    <t>1401/07/25</t>
  </si>
  <si>
    <t>وسبحان 211- ولشرق 133- شاوان 41- فمراد 36- حپارسا 36</t>
  </si>
  <si>
    <t>بپاس 186- شپنا 137- ثفارس 94- نوری 78- دی 77</t>
  </si>
  <si>
    <t>1401/07/26</t>
  </si>
  <si>
    <t>وپست 253- زاگرس 53- کمنگنز 38- فولاد 30- وپترو 28</t>
  </si>
  <si>
    <t>بپاس 96- حفارس 77- افق 77- وپاسار 71- خساپا 68</t>
  </si>
  <si>
    <t>1401/07/27</t>
  </si>
  <si>
    <t>حکشتی 139 - وآذر 50- فولاد 45- آسیا 40- وتوکا 33</t>
  </si>
  <si>
    <t>شپنا 190- خودرو 96- بپاس 64- خساپا 58- وبملت 47</t>
  </si>
  <si>
    <t>1401/07/30</t>
  </si>
  <si>
    <t>شاوان 168- حکشتی 86- خنصیر 63- انرژی سه 54- غشهد 53</t>
  </si>
  <si>
    <t>نوری 210- بپاس 135- خساپا 104- خودرو 97- وپاسار 70</t>
  </si>
  <si>
    <t>1401/08/01</t>
  </si>
  <si>
    <t>فسوژ 208- حکشتی 172- غشهد 44- ورنا 44- خگستر 39</t>
  </si>
  <si>
    <t>شپنا 305- حفارس 113- ونوین 112- دی 90- فولاد 73</t>
  </si>
  <si>
    <t>1401/08/02</t>
  </si>
  <si>
    <t>شبندر 398- وآذر 42- فسوژ 39- رنیک 37- خگستر 26</t>
  </si>
  <si>
    <t>شپنا 257- فولاد 143- شتران 129- وبملت 105- فملی 101</t>
  </si>
  <si>
    <t>1401/08/03</t>
  </si>
  <si>
    <t>شبندر 270- غگلپا 31- صبا 28- کایزد 26- چکاپا 19</t>
  </si>
  <si>
    <t>بپاس 293- وبملت 244- فملی 217- شپنا 212- وامید 195</t>
  </si>
  <si>
    <t>1401/08/04</t>
  </si>
  <si>
    <t>صبا 22- دماوند 20- اوان 20- غگلپا 15- سیمرغ 13</t>
  </si>
  <si>
    <t>وبملت 344- شپنا 331- فولاد 280- میدکو 280- فملی 234</t>
  </si>
  <si>
    <t>1401/08/07</t>
  </si>
  <si>
    <t>غگلپا 61- خموتور 45- رافزا 19- وصنعت 16- تپسی 13</t>
  </si>
  <si>
    <t>بپاس 1007- وبملت 328- فولاد 323- میدکو 297- شپنا 274</t>
  </si>
  <si>
    <t>1401/08/08</t>
  </si>
  <si>
    <t>شبندر 464- مادیرا 88- شراز 25- زپارس 14- آ س پ 12</t>
  </si>
  <si>
    <t>شپنا 351- بپاس 307- فولاد 250- خودرو 178- خساپا 176</t>
  </si>
  <si>
    <t>1401/08/09</t>
  </si>
  <si>
    <t>فارس 208- خبنیان 119- شبندر 72- شاوان 66- خساپا 58</t>
  </si>
  <si>
    <t>بپاس 250- شپنا 158- خصدرا 131- خاور 113- شستا 110</t>
  </si>
  <si>
    <t>1401/08/10</t>
  </si>
  <si>
    <t>وبانک 84- گدنا 61- غکورش 51- دفارا 40- وآذر 38</t>
  </si>
  <si>
    <t>شپنا 427- شبندر 376- بپاس 289- وبملت 100- خودرو 99</t>
  </si>
  <si>
    <t>1401/08/11</t>
  </si>
  <si>
    <t>فزر 76- فمراد 57- خبنیان 56- قیستو 56- فاسمین 43</t>
  </si>
  <si>
    <t>فولاد 279- شستا 262- شپنا 219- وبملت 166- خودرو 136</t>
  </si>
  <si>
    <t>1401/08/14</t>
  </si>
  <si>
    <t>فولاد 653- شبندر 560- فملی 465- شپنا 443- شتران 381</t>
  </si>
  <si>
    <t>بپاس 315- شستا 218- تاپیکو 166- میدکو 138- خاور 86</t>
  </si>
  <si>
    <t>1401/08/15</t>
  </si>
  <si>
    <t>شلرد 101- خزامیا 85- فملی 71- خگستر 62- وفتخار 58</t>
  </si>
  <si>
    <t>خاور 177- فولاد 167- شستا 143- خودرو 101- فرابورس 94</t>
  </si>
  <si>
    <t>1401/08/16</t>
  </si>
  <si>
    <t>شتران 456- شپنا 447- وبملت 358- شبندر 292- شراز 265</t>
  </si>
  <si>
    <t>فزر 169- زپارس 162- خساپا 68- وغدیر 66- بپاس 59</t>
  </si>
  <si>
    <t>1401/08/17</t>
  </si>
  <si>
    <t>شتران 890- خگستر 781- کاما 45- وپاسار 43- ذوب 40</t>
  </si>
  <si>
    <t>حکشتی 316- فولاد 309- وبملت 228- خزامیا 214- شستا 203</t>
  </si>
  <si>
    <t>1401/08/18</t>
  </si>
  <si>
    <t>شتران 655- خگستر 258- فتوسا 152- شبریز 60- اتکای 55</t>
  </si>
  <si>
    <t>شستا 311- خودرو 210- خساپا 188- وبملت 170- وتجارت 155</t>
  </si>
  <si>
    <t>1401/08/21</t>
  </si>
  <si>
    <t>حکشتی 384- فملی 344- فاسمین 185- اتکای 131- غدشت 100</t>
  </si>
  <si>
    <t>شاراک 170- شبندر 167- خودرو 160- خساپا 139- ختوقا 123</t>
  </si>
  <si>
    <t>1401/08/22</t>
  </si>
  <si>
    <t>شپنا 129- شفن 113- غدشت 102- غبشهر 76- خگستر 54</t>
  </si>
  <si>
    <t>شبندر 459- شتران 357- خودرو 225- خساپا 201- وبملت 195</t>
  </si>
  <si>
    <t>1401/08/23</t>
  </si>
  <si>
    <t>غدشت 100-غاذر 63-شفن56-وملی 48-واحصا42</t>
  </si>
  <si>
    <t>شپنا770-شبندر640-فملی359-خودرو290-خساپا266</t>
  </si>
  <si>
    <t>1401/08/24</t>
  </si>
  <si>
    <t>غدشت 102- وآذر 89- غاذر 86- سمازن 57- زفکا 54</t>
  </si>
  <si>
    <t>شبندر 258- شپنا 235- وبملت 207- بپاس 164- خودرو 148</t>
  </si>
  <si>
    <t>1401/08/25</t>
  </si>
  <si>
    <t>غدشت 99- همراه 89- شفا 66- دفارا 60- وسبحان 50</t>
  </si>
  <si>
    <t>شپنا 306- وبملت 223- شبندر 193- شستا 176- خودرو 138</t>
  </si>
  <si>
    <t>1401/08/28</t>
  </si>
  <si>
    <t>کالا 52- پرداخت 31- حتوکا 30- شپدیس 29- شنفت 25</t>
  </si>
  <si>
    <t>شپنا 959- شتران 750- حکشتی 673- شبندر 467- فملی 365</t>
  </si>
  <si>
    <t>1401/08/29</t>
  </si>
  <si>
    <t>خودرو 515  -خساپا  487  -خگستر   396 -شنفت 327  -وساخت 265</t>
  </si>
  <si>
    <t>بپاس   699  -شپنا   302 -فملی  168  -پارسان  75 -فولاد  68</t>
  </si>
  <si>
    <t>1401/08/30</t>
  </si>
  <si>
    <t>وبانک 498- رفاه 288- بکهنوج 225- خصدرا 209- کطبس 107</t>
  </si>
  <si>
    <t>خودرو 277- حکشتی 221- شبندر 206- بپاس 197- خگستر 185</t>
  </si>
  <si>
    <t>1401/09/01</t>
  </si>
  <si>
    <t>خساپا 852- وساپا 162- فایرا 142- غپینو 147- گدنا 116</t>
  </si>
  <si>
    <t>شپنا 215- فملی 181- خودرو 129- حکشتی 126- شبندر 120</t>
  </si>
  <si>
    <t>1401/09/02</t>
  </si>
  <si>
    <t>وبانک 508- وآذر 218- وبصادر 67- اپرداز 60- حتوکا 38</t>
  </si>
  <si>
    <t>شپنا 138- خساپا 133- بپاس 130- خودرو 118- غدشت 96</t>
  </si>
  <si>
    <t>1401/09/05</t>
  </si>
  <si>
    <t>خودرو 268- شنفت 140- ولبهمن 99- وبانک 86- حکشتی 80</t>
  </si>
  <si>
    <t>شپنا 350- شبندر 258- بپاس 177- خساپا 125- فملی 110</t>
  </si>
  <si>
    <t>1401/09/06</t>
  </si>
  <si>
    <t>رتاپ 181- قاسم 166- غدشت 101- ثمسکن 89- بخاور 48</t>
  </si>
  <si>
    <t>بپاس 165- شبندر 163- خساپا 160- شپنا 146- شتران 117</t>
  </si>
  <si>
    <t>1401/09/07</t>
  </si>
  <si>
    <t>آسیاتک 388- غنوش 337- حآفرین 176- بوعلی 167- غدشت 103</t>
  </si>
  <si>
    <t>خودرو 236- خساپا 216- شستا 178- صبا 105- فملی 99</t>
  </si>
  <si>
    <t>1401/09/08</t>
  </si>
  <si>
    <t>بوعلی 390- سبزوا 172- آسیاتک 138- اخابر 103- نوری82</t>
  </si>
  <si>
    <t>خودرو 328- آریا 267- خساپا 239- شستا 174- بپاس 101</t>
  </si>
  <si>
    <t>1401/09/09</t>
  </si>
  <si>
    <t>وبانک 354- کگل 237- غدشت 111- اخابر 88- وبملت 68</t>
  </si>
  <si>
    <t>بپاس 202- سصفها 159- شپنا 149- شستا 141- خودرو 131</t>
  </si>
  <si>
    <t>1401/09/12</t>
  </si>
  <si>
    <t>کگل 339- فخوز 156- وسبحان 116- وآذر 104- غدشت 93</t>
  </si>
  <si>
    <t>شستا 218- شپنا 200- حکشتی 192- خودرو 127- بپاس 122</t>
  </si>
  <si>
    <t>1401/09/13</t>
  </si>
  <si>
    <t>آسیاتک 128- خگستر 119- کگل 109- غدشت 105- ولبهمن 71</t>
  </si>
  <si>
    <t>فملی 236- بپاس 216- شپنا 168- شبندر 145- فولاد 129</t>
  </si>
  <si>
    <t>1401/09/14</t>
  </si>
  <si>
    <t>ذوب 273- غدشت 105- وتجارت 78- شبندر 64- غزر 49</t>
  </si>
  <si>
    <t>بپاس 416- شپنا 166- خساپا 163- فولاد 139- فملی 100</t>
  </si>
  <si>
    <t>1401/09/15</t>
  </si>
  <si>
    <t>ورنا 254- وساپا 181- غزر 157- سمگا 124- کگل 98</t>
  </si>
  <si>
    <t>خساپا 216- شپنا 126- بپاس 124- فملی 102- شستا 85</t>
  </si>
  <si>
    <t>1401/09/16</t>
  </si>
  <si>
    <t>خساپا 592- خودرو 250- کگل 102- وساپا 81- درازی 70</t>
  </si>
  <si>
    <t>بپاس 274- شپنا 205- غگل 104- کالا 103- نوری 92</t>
  </si>
  <si>
    <t>1401/09/19</t>
  </si>
  <si>
    <t>غدشت 97- وساپا 73- وپترو 53- فغدیر 38- ختور 36</t>
  </si>
  <si>
    <t>خودرو 592- خساپا 288- شستا 147- فولاد 137- شبندر 136</t>
  </si>
  <si>
    <t>1401/09/20</t>
  </si>
  <si>
    <t>شتران 736- شپنا 190- وبصادر 158- وتجارت 95- شبندر 95</t>
  </si>
  <si>
    <t>خودرو 252- خساپا 203- ورنا 96- خزامیا 95- شستا 79</t>
  </si>
  <si>
    <t>1401/09/21</t>
  </si>
  <si>
    <t>خبهمن 533- فزر 380- وبانک 323- وآذر 181- اخابر 136</t>
  </si>
  <si>
    <t>شستا 228- خودرو 203- ورنا 76- های وب 76- سصفها 74</t>
  </si>
  <si>
    <t>1401/09/22</t>
  </si>
  <si>
    <t>فولاد 595- کگل 501- فملی 283- فارس 203- اخابر 120</t>
  </si>
  <si>
    <t>نوری 155- شپنا 110- غکورش 72- تپمپی 70- سابیک 66</t>
  </si>
  <si>
    <t>1401/09/23</t>
  </si>
  <si>
    <t>غنوش 175- آبین 121- اخابر 86- کروی 81- وخاور 68</t>
  </si>
  <si>
    <t>فارس 174- فولاد 144- وبانک 129- شپنا 128- سفارس 105</t>
  </si>
  <si>
    <t>1401/09/26</t>
  </si>
  <si>
    <t>قاسم 200- پارسیان 198- اخابر 190- فرابورس 139- لخزر 92</t>
  </si>
  <si>
    <t>خودرو 153- شپنا 146- فولاد 130- شبندر 97- شستا 90</t>
  </si>
  <si>
    <t>1401/09/27</t>
  </si>
  <si>
    <t>فارس 539- اخابر 365- واتی 326- ذوب 188- بوعلی 164</t>
  </si>
  <si>
    <t>بالبر 208- خودرو 147- ختوقا 111- وغدیر 105- فولاد 101</t>
  </si>
  <si>
    <t>1401/09/28</t>
  </si>
  <si>
    <t>پارس 783-وسدید 289- فارس 288- قهکمت 231- ولبهمن 121</t>
  </si>
  <si>
    <t>خودرو 544- خساپا 508-فولاد  273-وغدیر  167-شپنا 134</t>
  </si>
  <si>
    <t>1401/09/29</t>
  </si>
  <si>
    <t>غنوش 456- زفکا 238- فرابورس 237- آسیاتک 144- وساپا 126</t>
  </si>
  <si>
    <t>فارس 281- شستا 199- شپنا 193- وبانک 166- خودرو 147</t>
  </si>
  <si>
    <t>1401/09/30</t>
  </si>
  <si>
    <t>وبانک 432- وپاسار 328- وبصادر 252- وسدید 184- ونوین 144</t>
  </si>
  <si>
    <t>آریان 327- رفاه 263- وغدیر 202- شستا 180- فارس 179</t>
  </si>
  <si>
    <t>1401/09/03</t>
  </si>
  <si>
    <t>شتران 728- وپاسار 425- شپدیس 314- کویر 263- شبندر 255</t>
  </si>
  <si>
    <t>شستا 203- فولاد 199- خودرو 182- خساپا 116- خچرخش 77</t>
  </si>
  <si>
    <t>1401/09/04</t>
  </si>
  <si>
    <t>کگل 790- غزر 516- نوری 240- شپدیس 224- بوعلی 202</t>
  </si>
  <si>
    <t>وغدیر 336- شپنا 256- شستا 135- شتران 122- کپارس 118</t>
  </si>
  <si>
    <t>پخش 606- میدکو 396- حکشتی 363- وساخت 286- شپدیس 231</t>
  </si>
  <si>
    <t>شپنا 429- شستا 315- شبندر 219- وغدیر 182- ذوب 146</t>
  </si>
  <si>
    <t>فولاد 1013- شپدیس 638- نوری 444- وآذر 435- شتران 410</t>
  </si>
  <si>
    <t>شستا 191- خگستر 186- وغدیر 134- شبندر 115- سپید 112</t>
  </si>
  <si>
    <t>-</t>
  </si>
  <si>
    <t>1401/10/10</t>
  </si>
  <si>
    <t>رمپنا 390- گدنا 289- وپاسار 139- حپارسا 135- پخش 120</t>
  </si>
  <si>
    <t>بوعلی 522- وغدیر 515- نوری 506- شستا 437- شپنا 414</t>
  </si>
  <si>
    <t>1401/10/11</t>
  </si>
  <si>
    <t>1401/10/12</t>
  </si>
  <si>
    <t>خودرو 747 - خساپا 653- خگستر 585- حکشتی 422- وبملت 227</t>
  </si>
  <si>
    <t>شستا 162- ونوین 119- زفکا 93- خوساز 85- تاصیکو 84</t>
  </si>
  <si>
    <t>1401/10/13</t>
  </si>
  <si>
    <t>خودرو 430- وتجارت 299- وپاسار 291- وبملت 263- سپاها 231</t>
  </si>
  <si>
    <t>فولاد 344- فملی 334- خگستر 286- شپنا 277- فارس 214</t>
  </si>
  <si>
    <t>1401/10/14</t>
  </si>
  <si>
    <t>وپاسار 541- حکشتی 432- وبملت 391- وتجارت 357- وسینا 298</t>
  </si>
  <si>
    <t>شپنا 250- فارس 197- خاور 188- فملی 149- وغدیر 129</t>
  </si>
  <si>
    <t>1401/10/17</t>
  </si>
  <si>
    <t>خودرو 1390- وپاسار 1350- وتجارت 1020- وبملت 952- خساپا 319</t>
  </si>
  <si>
    <t>کشرق 160- فارس 146- پیزد 103- خزامیا 102- شستا 90</t>
  </si>
  <si>
    <t>1401/10/18</t>
  </si>
  <si>
    <t>وپاسار 795  -ومعادن ح 510-شتران  510  -قچار453   -اپال446</t>
  </si>
  <si>
    <t xml:space="preserve">خودرو 813  -خزامیا   287-خساپا   285-خبهمن  174 -خکرمان 167 </t>
  </si>
  <si>
    <t>1401/10/19</t>
  </si>
  <si>
    <t>خگستر 781- دانا 614- ومعادن 540- شستا 521- وساپا 510</t>
  </si>
  <si>
    <t>وتجارت 337- شپنا 265- خزامیا 254- غدشت 246- کرمان 190</t>
  </si>
  <si>
    <t>1401/10/20</t>
  </si>
  <si>
    <t>خبهمن 607- ومعادن 392- های وب 357- شپدیس 306- فولاد 230</t>
  </si>
  <si>
    <t>خودرو 487- کاما 219- شپنا 214- ذوب 168- خگستر 164</t>
  </si>
  <si>
    <t>1401/10/21</t>
  </si>
  <si>
    <t>گدنا 807- وتوس 432- کرمان 333- کویر 243- تملت 182</t>
  </si>
  <si>
    <t>خودرو 797- شپنا 558- وبصادر 371- نوری 342- خساپا 309</t>
  </si>
  <si>
    <t>1401/10/24</t>
  </si>
  <si>
    <t>فزر 190- غدیس 179- وپست 154- درازک 136- وپاسار 108</t>
  </si>
  <si>
    <t>فولاد 377- خگستر 367- شستا 200- خبهمن 145- وساپا 130</t>
  </si>
  <si>
    <t>1401/10/26</t>
  </si>
  <si>
    <t>وبصادر 1050- خبهمن 631- وبملت 621- بجهرم 423- قاسم 394</t>
  </si>
  <si>
    <t>فملی 165- نوری 113- فارس 106- کرمان 104- شگویا 100</t>
  </si>
  <si>
    <t>1401/10/27</t>
  </si>
  <si>
    <t>افق 926- شبندر 515- خودرو 361- همراه 356- وآذر 261</t>
  </si>
  <si>
    <t>فملی 491- شپنا 474- شستا 273- وبملت 271- وتوس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</si>
</sst>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_);_(* \(#,##0\);_(* &quot;-&quot;??_);_(@_)"/>
    <numFmt numFmtId="165" formatCode="#,##0_ ;[Red]\-#,##0\ "/>
    <numFmt numFmtId="166" formatCode="0.00_ ;[Red]\-0.00\ "/>
    <numFmt numFmtId="167" formatCode="#,##0.0_ ;[Red]\-#,##0.0\ "/>
    <numFmt numFmtId="168" formatCode="0_ ;[Red]\-0\ "/>
    <numFmt numFmtId="169" formatCode="&quot;ريال&quot;\ #,##0_-;[Red]&quot;ريال&quot;\ #,##0\-"/>
    <numFmt numFmtId="170" formatCode="[$$-409]#,##0_ ;[Red]\-[$$-409]#,##0\ "/>
    <numFmt numFmtId="171" formatCode="#,##0.00_ ;[Red]\-#,##0.00\ "/>
    <numFmt numFmtId="172" formatCode="0.0_ ;[Red]\-0.0\ "/>
    <numFmt numFmtId="173" formatCode="[$$-409]#,##0"/>
    <numFmt numFmtId="174" formatCode="0.0%"/>
    <numFmt numFmtId="175" formatCode="_ * #,##0.00_-_ ;_ * #,##0.00\-_ ;_ * &quot;-&quot;??_-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B Zar"/>
      <charset val="178"/>
    </font>
    <font>
      <b/>
      <sz val="12"/>
      <color rgb="FF000000"/>
      <name val="B Zar"/>
      <charset val="178"/>
    </font>
    <font>
      <sz val="11"/>
      <color rgb="FF000000"/>
      <name val="B Zar"/>
      <charset val="178"/>
    </font>
    <font>
      <sz val="13"/>
      <color rgb="FF000000"/>
      <name val="B Zar"/>
      <charset val="178"/>
    </font>
    <font>
      <sz val="11"/>
      <color rgb="FFFF0000"/>
      <name val="B Zar"/>
      <charset val="178"/>
    </font>
    <font>
      <sz val="11"/>
      <name val="B Zar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B Zar"/>
      <charset val="178"/>
    </font>
    <font>
      <sz val="13"/>
      <color theme="1"/>
      <name val="B Za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5" xfId="0" applyFont="1" applyFill="1" applyBorder="1" applyAlignment="1">
      <alignment horizontal="center" vertical="center" readingOrder="2"/>
    </xf>
    <xf numFmtId="164" fontId="2" fillId="5" borderId="5" xfId="1" applyNumberFormat="1" applyFont="1" applyFill="1" applyBorder="1" applyAlignment="1">
      <alignment horizontal="center" readingOrder="2"/>
    </xf>
    <xf numFmtId="0" fontId="2" fillId="5" borderId="5" xfId="0" applyFont="1" applyFill="1" applyBorder="1" applyAlignment="1">
      <alignment horizontal="center" vertical="center" readingOrder="2"/>
    </xf>
    <xf numFmtId="0" fontId="2" fillId="3" borderId="5" xfId="0" applyFont="1" applyFill="1" applyBorder="1" applyAlignment="1">
      <alignment horizontal="center" vertical="center" readingOrder="2"/>
    </xf>
    <xf numFmtId="0" fontId="2" fillId="4" borderId="5" xfId="0" applyFont="1" applyFill="1" applyBorder="1" applyAlignment="1">
      <alignment horizontal="center" vertical="center" readingOrder="2"/>
    </xf>
    <xf numFmtId="1" fontId="2" fillId="5" borderId="5" xfId="0" applyNumberFormat="1" applyFont="1" applyFill="1" applyBorder="1" applyAlignment="1">
      <alignment horizontal="center" vertical="center" readingOrder="2"/>
    </xf>
    <xf numFmtId="165" fontId="4" fillId="0" borderId="5" xfId="2" applyNumberFormat="1" applyFont="1" applyFill="1" applyBorder="1" applyAlignment="1">
      <alignment horizontal="center" vertical="center" readingOrder="1"/>
    </xf>
    <xf numFmtId="166" fontId="4" fillId="0" borderId="5" xfId="2" applyNumberFormat="1" applyFont="1" applyFill="1" applyBorder="1" applyAlignment="1">
      <alignment horizontal="center" vertical="center" readingOrder="1"/>
    </xf>
    <xf numFmtId="164" fontId="4" fillId="5" borderId="5" xfId="1" applyNumberFormat="1" applyFont="1" applyFill="1" applyBorder="1" applyAlignment="1">
      <alignment horizontal="center" readingOrder="1"/>
    </xf>
    <xf numFmtId="165" fontId="4" fillId="6" borderId="5" xfId="2" applyNumberFormat="1" applyFont="1" applyFill="1" applyBorder="1" applyAlignment="1">
      <alignment horizontal="center" vertical="center" readingOrder="1"/>
    </xf>
    <xf numFmtId="165" fontId="4" fillId="5" borderId="5" xfId="2" applyNumberFormat="1" applyFont="1" applyFill="1" applyBorder="1" applyAlignment="1">
      <alignment horizontal="center" vertical="center" readingOrder="1"/>
    </xf>
    <xf numFmtId="167" fontId="4" fillId="5" borderId="5" xfId="2" applyNumberFormat="1" applyFont="1" applyFill="1" applyBorder="1" applyAlignment="1">
      <alignment horizontal="center" vertical="center" readingOrder="1"/>
    </xf>
    <xf numFmtId="168" fontId="4" fillId="0" borderId="5" xfId="2" applyNumberFormat="1" applyFont="1" applyFill="1" applyBorder="1" applyAlignment="1">
      <alignment horizontal="center" vertical="center" readingOrder="1"/>
    </xf>
    <xf numFmtId="168" fontId="4" fillId="6" borderId="5" xfId="2" applyNumberFormat="1" applyFont="1" applyFill="1" applyBorder="1" applyAlignment="1">
      <alignment horizontal="center" vertical="center" readingOrder="1"/>
    </xf>
    <xf numFmtId="0" fontId="5" fillId="0" borderId="5" xfId="0" applyFont="1" applyFill="1" applyBorder="1" applyAlignment="1">
      <alignment horizontal="center" vertical="center" readingOrder="2"/>
    </xf>
    <xf numFmtId="169" fontId="4" fillId="0" borderId="5" xfId="2" applyNumberFormat="1" applyFont="1" applyFill="1" applyBorder="1" applyAlignment="1">
      <alignment horizontal="center" vertical="center" readingOrder="1"/>
    </xf>
    <xf numFmtId="1" fontId="4" fillId="5" borderId="5" xfId="2" applyNumberFormat="1" applyFont="1" applyFill="1" applyBorder="1" applyAlignment="1">
      <alignment horizontal="center" vertical="center" readingOrder="1"/>
    </xf>
    <xf numFmtId="166" fontId="4" fillId="0" borderId="5" xfId="0" applyNumberFormat="1" applyFont="1" applyFill="1" applyBorder="1" applyAlignment="1">
      <alignment horizontal="center" vertical="center" readingOrder="2"/>
    </xf>
    <xf numFmtId="170" fontId="4" fillId="0" borderId="5" xfId="2" applyNumberFormat="1" applyFont="1" applyFill="1" applyBorder="1" applyAlignment="1">
      <alignment horizontal="center" vertical="center" readingOrder="1"/>
    </xf>
    <xf numFmtId="171" fontId="4" fillId="0" borderId="5" xfId="2" applyNumberFormat="1" applyFont="1" applyFill="1" applyBorder="1" applyAlignment="1">
      <alignment horizontal="center" vertical="center" readingOrder="1"/>
    </xf>
    <xf numFmtId="0" fontId="4" fillId="0" borderId="5" xfId="0" applyFont="1" applyFill="1" applyBorder="1" applyAlignment="1">
      <alignment horizontal="center" vertical="center" readingOrder="2"/>
    </xf>
    <xf numFmtId="165" fontId="4" fillId="7" borderId="5" xfId="2" applyNumberFormat="1" applyFont="1" applyFill="1" applyBorder="1" applyAlignment="1">
      <alignment horizontal="center" vertical="center" readingOrder="1"/>
    </xf>
    <xf numFmtId="172" fontId="4" fillId="0" borderId="5" xfId="2" applyNumberFormat="1" applyFont="1" applyFill="1" applyBorder="1" applyAlignment="1">
      <alignment horizontal="center" vertical="center" readingOrder="1"/>
    </xf>
    <xf numFmtId="167" fontId="4" fillId="0" borderId="5" xfId="2" applyNumberFormat="1" applyFont="1" applyFill="1" applyBorder="1" applyAlignment="1">
      <alignment horizontal="center" vertical="center" readingOrder="1"/>
    </xf>
    <xf numFmtId="20" fontId="4" fillId="0" borderId="5" xfId="2" applyNumberFormat="1" applyFont="1" applyFill="1" applyBorder="1" applyAlignment="1">
      <alignment horizontal="center" vertical="center" readingOrder="1"/>
    </xf>
    <xf numFmtId="173" fontId="4" fillId="0" borderId="5" xfId="2" applyNumberFormat="1" applyFont="1" applyFill="1" applyBorder="1" applyAlignment="1">
      <alignment horizontal="center" vertical="center" readingOrder="1"/>
    </xf>
    <xf numFmtId="10" fontId="4" fillId="0" borderId="5" xfId="2" applyNumberFormat="1" applyFont="1" applyFill="1" applyBorder="1" applyAlignment="1">
      <alignment horizontal="center" vertical="center" readingOrder="1"/>
    </xf>
    <xf numFmtId="174" fontId="4" fillId="0" borderId="5" xfId="2" applyNumberFormat="1" applyFont="1" applyFill="1" applyBorder="1" applyAlignment="1">
      <alignment horizontal="center" vertical="center" readingOrder="1"/>
    </xf>
    <xf numFmtId="10" fontId="6" fillId="0" borderId="5" xfId="2" applyNumberFormat="1" applyFont="1" applyFill="1" applyBorder="1" applyAlignment="1">
      <alignment horizontal="center" vertical="center" readingOrder="1"/>
    </xf>
    <xf numFmtId="174" fontId="6" fillId="0" borderId="5" xfId="2" applyNumberFormat="1" applyFont="1" applyFill="1" applyBorder="1" applyAlignment="1">
      <alignment horizontal="center" vertical="center" readingOrder="1"/>
    </xf>
    <xf numFmtId="10" fontId="7" fillId="0" borderId="5" xfId="2" applyNumberFormat="1" applyFont="1" applyFill="1" applyBorder="1" applyAlignment="1">
      <alignment horizontal="center" vertical="center" readingOrder="1"/>
    </xf>
    <xf numFmtId="165" fontId="10" fillId="0" borderId="5" xfId="2" applyNumberFormat="1" applyFont="1" applyBorder="1" applyAlignment="1">
      <alignment horizontal="center" vertical="center" readingOrder="1"/>
    </xf>
    <xf numFmtId="0" fontId="11" fillId="0" borderId="5" xfId="0" applyFont="1" applyBorder="1" applyAlignment="1">
      <alignment horizontal="center" vertical="center" readingOrder="2"/>
    </xf>
    <xf numFmtId="168" fontId="10" fillId="0" borderId="5" xfId="2" applyNumberFormat="1" applyFont="1" applyBorder="1" applyAlignment="1">
      <alignment horizontal="center" vertical="center" readingOrder="1"/>
    </xf>
    <xf numFmtId="169" fontId="10" fillId="0" borderId="5" xfId="2" applyNumberFormat="1" applyFont="1" applyBorder="1" applyAlignment="1">
      <alignment horizontal="center" vertical="center" readingOrder="1"/>
    </xf>
    <xf numFmtId="170" fontId="10" fillId="0" borderId="5" xfId="2" applyNumberFormat="1" applyFont="1" applyBorder="1" applyAlignment="1">
      <alignment horizontal="center" vertical="center" readingOrder="1"/>
    </xf>
    <xf numFmtId="172" fontId="10" fillId="0" borderId="5" xfId="2" applyNumberFormat="1" applyFont="1" applyBorder="1" applyAlignment="1">
      <alignment horizontal="center" vertical="center" readingOrder="1"/>
    </xf>
    <xf numFmtId="167" fontId="10" fillId="0" borderId="5" xfId="2" applyNumberFormat="1" applyFont="1" applyBorder="1" applyAlignment="1">
      <alignment horizontal="center" vertical="center" readingOrder="1"/>
    </xf>
    <xf numFmtId="20" fontId="10" fillId="0" borderId="5" xfId="2" applyNumberFormat="1" applyFont="1" applyBorder="1" applyAlignment="1">
      <alignment horizontal="center" vertical="center" readingOrder="1"/>
    </xf>
    <xf numFmtId="165" fontId="10" fillId="8" borderId="5" xfId="2" applyNumberFormat="1" applyFont="1" applyFill="1" applyBorder="1" applyAlignment="1">
      <alignment horizontal="center" vertical="center" readingOrder="1"/>
    </xf>
    <xf numFmtId="1" fontId="10" fillId="8" borderId="5" xfId="2" applyNumberFormat="1" applyFont="1" applyFill="1" applyBorder="1" applyAlignment="1">
      <alignment horizontal="center" vertical="center" readingOrder="1"/>
    </xf>
    <xf numFmtId="164" fontId="10" fillId="8" borderId="5" xfId="3" applyNumberFormat="1" applyFont="1" applyFill="1" applyBorder="1" applyAlignment="1">
      <alignment horizontal="center" readingOrder="1"/>
    </xf>
    <xf numFmtId="10" fontId="10" fillId="0" borderId="5" xfId="2" applyNumberFormat="1" applyFont="1" applyBorder="1" applyAlignment="1">
      <alignment horizontal="center" vertical="center" readingOrder="1"/>
    </xf>
    <xf numFmtId="174" fontId="10" fillId="0" borderId="5" xfId="2" applyNumberFormat="1" applyFont="1" applyBorder="1" applyAlignment="1">
      <alignment horizontal="center" vertical="center" readingOrder="1"/>
    </xf>
    <xf numFmtId="10" fontId="7" fillId="0" borderId="5" xfId="2" applyNumberFormat="1" applyFont="1" applyBorder="1" applyAlignment="1">
      <alignment horizontal="center" vertical="center" readingOrder="1"/>
    </xf>
    <xf numFmtId="165" fontId="10" fillId="0" borderId="5" xfId="2" applyNumberFormat="1" applyFont="1" applyBorder="1" applyAlignment="1">
      <alignment horizontal="center" vertical="center" readingOrder="1"/>
    </xf>
    <xf numFmtId="0" fontId="11" fillId="0" borderId="5" xfId="0" applyFont="1" applyBorder="1" applyAlignment="1">
      <alignment horizontal="center" vertical="center" readingOrder="2"/>
    </xf>
    <xf numFmtId="168" fontId="10" fillId="0" borderId="5" xfId="2" applyNumberFormat="1" applyFont="1" applyBorder="1" applyAlignment="1">
      <alignment horizontal="center" vertical="center" readingOrder="1"/>
    </xf>
    <xf numFmtId="169" fontId="10" fillId="0" borderId="5" xfId="2" applyNumberFormat="1" applyFont="1" applyBorder="1" applyAlignment="1">
      <alignment horizontal="center" vertical="center" readingOrder="1"/>
    </xf>
    <xf numFmtId="170" fontId="10" fillId="0" borderId="5" xfId="2" applyNumberFormat="1" applyFont="1" applyBorder="1" applyAlignment="1">
      <alignment horizontal="center" vertical="center" readingOrder="1"/>
    </xf>
    <xf numFmtId="172" fontId="10" fillId="0" borderId="5" xfId="2" applyNumberFormat="1" applyFont="1" applyBorder="1" applyAlignment="1">
      <alignment horizontal="center" vertical="center" readingOrder="1"/>
    </xf>
    <xf numFmtId="167" fontId="10" fillId="0" borderId="5" xfId="2" applyNumberFormat="1" applyFont="1" applyBorder="1" applyAlignment="1">
      <alignment horizontal="center" vertical="center" readingOrder="1"/>
    </xf>
    <xf numFmtId="20" fontId="10" fillId="0" borderId="5" xfId="2" applyNumberFormat="1" applyFont="1" applyBorder="1" applyAlignment="1">
      <alignment horizontal="center" vertical="center" readingOrder="1"/>
    </xf>
    <xf numFmtId="165" fontId="10" fillId="8" borderId="5" xfId="2" applyNumberFormat="1" applyFont="1" applyFill="1" applyBorder="1" applyAlignment="1">
      <alignment horizontal="center" vertical="center" readingOrder="1"/>
    </xf>
    <xf numFmtId="1" fontId="10" fillId="8" borderId="5" xfId="2" applyNumberFormat="1" applyFont="1" applyFill="1" applyBorder="1" applyAlignment="1">
      <alignment horizontal="center" vertical="center" readingOrder="1"/>
    </xf>
    <xf numFmtId="164" fontId="10" fillId="8" borderId="5" xfId="3" applyNumberFormat="1" applyFont="1" applyFill="1" applyBorder="1" applyAlignment="1">
      <alignment horizontal="center" readingOrder="1"/>
    </xf>
    <xf numFmtId="10" fontId="10" fillId="0" borderId="5" xfId="2" applyNumberFormat="1" applyFont="1" applyBorder="1" applyAlignment="1">
      <alignment horizontal="center" vertical="center" readingOrder="1"/>
    </xf>
    <xf numFmtId="174" fontId="10" fillId="0" borderId="5" xfId="2" applyNumberFormat="1" applyFont="1" applyBorder="1" applyAlignment="1">
      <alignment horizontal="center" vertical="center" readingOrder="1"/>
    </xf>
    <xf numFmtId="10" fontId="7" fillId="0" borderId="5" xfId="2" applyNumberFormat="1" applyFont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2"/>
    </xf>
    <xf numFmtId="0" fontId="2" fillId="0" borderId="6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0" fontId="3" fillId="3" borderId="5" xfId="0" applyFont="1" applyFill="1" applyBorder="1" applyAlignment="1">
      <alignment horizontal="center" readingOrder="2"/>
    </xf>
    <xf numFmtId="0" fontId="3" fillId="4" borderId="2" xfId="0" applyFont="1" applyFill="1" applyBorder="1" applyAlignment="1">
      <alignment horizontal="center" readingOrder="2"/>
    </xf>
    <xf numFmtId="0" fontId="3" fillId="4" borderId="3" xfId="0" applyFont="1" applyFill="1" applyBorder="1" applyAlignment="1">
      <alignment horizontal="center" readingOrder="2"/>
    </xf>
    <xf numFmtId="0" fontId="3" fillId="4" borderId="4" xfId="0" applyFont="1" applyFill="1" applyBorder="1" applyAlignment="1">
      <alignment horizontal="center" readingOrder="2"/>
    </xf>
  </cellXfs>
  <cellStyles count="5">
    <cellStyle name="Comma" xfId="1" builtinId="3"/>
    <cellStyle name="Comma 2" xfId="3" xr:uid="{EED864F9-F74B-4BC2-B415-DBBCAD044BE3}"/>
    <cellStyle name="Normal" xfId="0" builtinId="0"/>
    <cellStyle name="Normal 2 2" xfId="4" xr:uid="{9BA48D8B-1835-451D-BAC5-F9F7BD98FBAE}"/>
    <cellStyle name="Percent" xfId="2" builtinId="5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2"/>
  <sheetViews>
    <sheetView rightToLeft="1" tabSelected="1" topLeftCell="A418" workbookViewId="0">
      <selection activeCell="G433" sqref="G433"/>
    </sheetView>
  </sheetViews>
  <sheetFormatPr defaultRowHeight="15" x14ac:dyDescent="0.25"/>
  <cols>
    <col min="1" max="1" width="9" bestFit="1" customWidth="1"/>
    <col min="2" max="2" width="5.5703125" bestFit="1" customWidth="1"/>
    <col min="3" max="3" width="9.42578125" bestFit="1" customWidth="1"/>
    <col min="4" max="4" width="28.140625" bestFit="1" customWidth="1"/>
    <col min="5" max="5" width="12.7109375" bestFit="1" customWidth="1"/>
    <col min="6" max="6" width="31.5703125" bestFit="1" customWidth="1"/>
    <col min="7" max="7" width="15.7109375" bestFit="1" customWidth="1"/>
    <col min="8" max="8" width="18.42578125" bestFit="1" customWidth="1"/>
    <col min="9" max="9" width="39.140625" bestFit="1" customWidth="1"/>
    <col min="10" max="10" width="48.42578125" bestFit="1" customWidth="1"/>
    <col min="11" max="11" width="25" bestFit="1" customWidth="1"/>
    <col min="12" max="12" width="12.28515625" bestFit="1" customWidth="1"/>
    <col min="13" max="13" width="19.28515625" bestFit="1" customWidth="1"/>
    <col min="14" max="14" width="16" bestFit="1" customWidth="1"/>
    <col min="15" max="15" width="16.5703125" bestFit="1" customWidth="1"/>
    <col min="16" max="16" width="16.28515625" bestFit="1" customWidth="1"/>
    <col min="17" max="17" width="19.42578125" bestFit="1" customWidth="1"/>
    <col min="18" max="18" width="29" bestFit="1" customWidth="1"/>
    <col min="19" max="19" width="20" bestFit="1" customWidth="1"/>
    <col min="20" max="20" width="29.7109375" bestFit="1" customWidth="1"/>
    <col min="21" max="21" width="52.5703125" bestFit="1" customWidth="1"/>
    <col min="22" max="22" width="51.85546875" bestFit="1" customWidth="1"/>
    <col min="23" max="23" width="30.7109375" bestFit="1" customWidth="1"/>
    <col min="24" max="24" width="10.28515625" bestFit="1" customWidth="1"/>
    <col min="25" max="25" width="15.140625" bestFit="1" customWidth="1"/>
    <col min="26" max="26" width="11.28515625" bestFit="1" customWidth="1"/>
    <col min="27" max="27" width="23.85546875" bestFit="1" customWidth="1"/>
    <col min="28" max="28" width="14.42578125" bestFit="1" customWidth="1"/>
    <col min="29" max="29" width="12.7109375" bestFit="1" customWidth="1"/>
    <col min="30" max="30" width="22.28515625" bestFit="1" customWidth="1"/>
    <col min="31" max="31" width="15.7109375" bestFit="1" customWidth="1"/>
    <col min="32" max="32" width="19.85546875" bestFit="1" customWidth="1"/>
    <col min="33" max="33" width="12.7109375" bestFit="1" customWidth="1"/>
    <col min="34" max="34" width="27" bestFit="1" customWidth="1"/>
    <col min="35" max="35" width="12.140625" bestFit="1" customWidth="1"/>
    <col min="36" max="36" width="9.42578125" bestFit="1" customWidth="1"/>
    <col min="37" max="37" width="28.140625" bestFit="1" customWidth="1"/>
  </cols>
  <sheetData>
    <row r="1" spans="1:37" ht="21" x14ac:dyDescent="0.55000000000000004">
      <c r="A1" s="60" t="s">
        <v>0</v>
      </c>
      <c r="B1" s="60" t="s">
        <v>1</v>
      </c>
      <c r="C1" s="62" t="s">
        <v>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65" t="s">
        <v>3</v>
      </c>
      <c r="V1" s="65"/>
      <c r="W1" s="65"/>
      <c r="X1" s="66" t="s">
        <v>4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8"/>
    </row>
    <row r="2" spans="1:37" ht="19.5" x14ac:dyDescent="0.5">
      <c r="A2" s="61"/>
      <c r="B2" s="61"/>
      <c r="C2" s="1" t="s">
        <v>5</v>
      </c>
      <c r="D2" s="1" t="s">
        <v>6</v>
      </c>
      <c r="E2" s="1" t="s">
        <v>7</v>
      </c>
      <c r="F2" s="1" t="s">
        <v>8</v>
      </c>
      <c r="G2" s="2" t="s">
        <v>9</v>
      </c>
      <c r="H2" s="2" t="s">
        <v>10</v>
      </c>
      <c r="I2" s="1" t="s">
        <v>11</v>
      </c>
      <c r="J2" s="1" t="s">
        <v>12</v>
      </c>
      <c r="K2" s="3" t="s">
        <v>13</v>
      </c>
      <c r="L2" s="3" t="s">
        <v>14</v>
      </c>
      <c r="M2" s="3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4" t="s">
        <v>23</v>
      </c>
      <c r="V2" s="4" t="s">
        <v>24</v>
      </c>
      <c r="W2" s="4" t="s">
        <v>25</v>
      </c>
      <c r="X2" s="5" t="s">
        <v>26</v>
      </c>
      <c r="Y2" s="5" t="s">
        <v>27</v>
      </c>
      <c r="Z2" s="5" t="s">
        <v>28</v>
      </c>
      <c r="AA2" s="5" t="s">
        <v>29</v>
      </c>
      <c r="AB2" s="6" t="s">
        <v>30</v>
      </c>
      <c r="AC2" s="5" t="s">
        <v>31</v>
      </c>
      <c r="AD2" s="5" t="s">
        <v>32</v>
      </c>
      <c r="AE2" s="5" t="s">
        <v>33</v>
      </c>
      <c r="AF2" s="5" t="s">
        <v>34</v>
      </c>
      <c r="AG2" s="5" t="s">
        <v>35</v>
      </c>
      <c r="AH2" s="5" t="s">
        <v>36</v>
      </c>
      <c r="AI2" s="5" t="s">
        <v>37</v>
      </c>
      <c r="AJ2" s="5" t="s">
        <v>5</v>
      </c>
      <c r="AK2" s="5" t="s">
        <v>6</v>
      </c>
    </row>
    <row r="3" spans="1:37" ht="22.5" x14ac:dyDescent="0.55000000000000004">
      <c r="A3" s="7" t="s">
        <v>38</v>
      </c>
      <c r="B3" s="7"/>
      <c r="C3" s="7">
        <v>1260800</v>
      </c>
      <c r="D3" s="8">
        <v>-0.15</v>
      </c>
      <c r="E3" s="7">
        <v>438370.34</v>
      </c>
      <c r="F3" s="8">
        <v>-0.14000000000000001</v>
      </c>
      <c r="G3" s="9"/>
      <c r="H3" s="9"/>
      <c r="I3" s="10">
        <f>55887/1000</f>
        <v>55.887</v>
      </c>
      <c r="J3" s="10">
        <v>38192</v>
      </c>
      <c r="K3" s="11"/>
      <c r="L3" s="11"/>
      <c r="M3" s="12"/>
      <c r="N3" s="13"/>
      <c r="O3" s="13">
        <f>50+62</f>
        <v>112</v>
      </c>
      <c r="P3" s="13">
        <f>335+177</f>
        <v>512</v>
      </c>
      <c r="Q3" s="13">
        <v>22</v>
      </c>
      <c r="R3" s="14">
        <v>1349</v>
      </c>
      <c r="S3" s="13">
        <v>448</v>
      </c>
      <c r="T3" s="14">
        <v>35071</v>
      </c>
      <c r="U3" s="15" t="s">
        <v>39</v>
      </c>
      <c r="V3" s="15" t="s">
        <v>40</v>
      </c>
      <c r="W3" s="10">
        <f>-159668119678*10/1000000000</f>
        <v>-1596.6811967799999</v>
      </c>
      <c r="X3" s="10"/>
      <c r="Y3" s="10"/>
      <c r="Z3" s="10"/>
      <c r="AA3" s="16">
        <v>245874</v>
      </c>
      <c r="AB3" s="17"/>
      <c r="AC3" s="18">
        <f>(AA3-244070)/244070*100</f>
        <v>0.73913221616749292</v>
      </c>
      <c r="AD3" s="19">
        <v>58975</v>
      </c>
      <c r="AE3" s="20">
        <v>0.98</v>
      </c>
      <c r="AF3" s="16">
        <v>107510000</v>
      </c>
      <c r="AG3" s="20">
        <v>0.23</v>
      </c>
      <c r="AH3" s="16">
        <v>107480000</v>
      </c>
      <c r="AI3" s="21">
        <v>0.21</v>
      </c>
      <c r="AJ3" s="7">
        <v>1260800</v>
      </c>
      <c r="AK3" s="8">
        <v>-0.15</v>
      </c>
    </row>
    <row r="4" spans="1:37" ht="22.5" x14ac:dyDescent="0.55000000000000004">
      <c r="A4" s="7" t="s">
        <v>41</v>
      </c>
      <c r="B4" s="7"/>
      <c r="C4" s="7">
        <v>1240758.1399999999</v>
      </c>
      <c r="D4" s="8">
        <v>-0.73</v>
      </c>
      <c r="E4" s="7">
        <v>436174.7</v>
      </c>
      <c r="F4" s="8">
        <v>-0.22</v>
      </c>
      <c r="G4" s="9"/>
      <c r="H4" s="9"/>
      <c r="I4" s="22">
        <f>16219.85/1000</f>
        <v>16.219850000000001</v>
      </c>
      <c r="J4" s="22">
        <v>35747</v>
      </c>
      <c r="K4" s="11"/>
      <c r="L4" s="11"/>
      <c r="M4" s="12"/>
      <c r="N4" s="13"/>
      <c r="O4" s="13">
        <f>84+25</f>
        <v>109</v>
      </c>
      <c r="P4" s="13">
        <f>159+351</f>
        <v>510</v>
      </c>
      <c r="Q4" s="13">
        <v>16</v>
      </c>
      <c r="R4" s="13">
        <v>1448.46</v>
      </c>
      <c r="S4" s="13">
        <v>513</v>
      </c>
      <c r="T4" s="13">
        <v>52137.81</v>
      </c>
      <c r="U4" s="15" t="s">
        <v>42</v>
      </c>
      <c r="V4" s="15" t="s">
        <v>43</v>
      </c>
      <c r="W4" s="7">
        <f>-340598473119*10/1000000000</f>
        <v>-3405.9847311899998</v>
      </c>
      <c r="X4" s="7"/>
      <c r="Y4" s="7"/>
      <c r="Z4" s="7"/>
      <c r="AA4" s="16">
        <v>242523</v>
      </c>
      <c r="AB4" s="17"/>
      <c r="AC4" s="20">
        <f>(AA4-AA3)/AA3*100</f>
        <v>-1.3628931891944653</v>
      </c>
      <c r="AD4" s="19">
        <v>60700.11</v>
      </c>
      <c r="AE4" s="20">
        <v>4.4400000000000004</v>
      </c>
      <c r="AF4" s="16">
        <v>104660000</v>
      </c>
      <c r="AG4" s="20">
        <v>-1.28</v>
      </c>
      <c r="AH4" s="16">
        <v>10403000</v>
      </c>
      <c r="AI4" s="20">
        <v>-1.02</v>
      </c>
      <c r="AJ4" s="7">
        <f t="shared" ref="AJ4:AK35" si="0">C4</f>
        <v>1240758.1399999999</v>
      </c>
      <c r="AK4" s="8">
        <f t="shared" si="0"/>
        <v>-0.73</v>
      </c>
    </row>
    <row r="5" spans="1:37" ht="22.5" x14ac:dyDescent="0.55000000000000004">
      <c r="A5" s="7" t="s">
        <v>44</v>
      </c>
      <c r="B5" s="7"/>
      <c r="C5" s="7">
        <v>1230920.69</v>
      </c>
      <c r="D5" s="8">
        <v>-0.79</v>
      </c>
      <c r="E5" s="7">
        <v>435357.21</v>
      </c>
      <c r="F5" s="8">
        <v>-0.19</v>
      </c>
      <c r="G5" s="9"/>
      <c r="H5" s="9"/>
      <c r="I5" s="22">
        <f>49159784.436/1000000</f>
        <v>49.159784435999995</v>
      </c>
      <c r="J5" s="22">
        <v>29473</v>
      </c>
      <c r="K5" s="11"/>
      <c r="L5" s="11"/>
      <c r="M5" s="12"/>
      <c r="N5" s="13"/>
      <c r="O5" s="13">
        <f>38+64</f>
        <v>102</v>
      </c>
      <c r="P5" s="13">
        <f>173+334</f>
        <v>507</v>
      </c>
      <c r="Q5" s="13">
        <v>14</v>
      </c>
      <c r="R5" s="23">
        <f>1265.18/1000</f>
        <v>1.26518</v>
      </c>
      <c r="S5" s="13">
        <v>480</v>
      </c>
      <c r="T5" s="23">
        <f>50912.98/1000</f>
        <v>50.912980000000005</v>
      </c>
      <c r="U5" s="15" t="s">
        <v>45</v>
      </c>
      <c r="V5" s="15" t="s">
        <v>46</v>
      </c>
      <c r="W5" s="24">
        <f>-390297863253*10/1000000000000</f>
        <v>-3.90297863253</v>
      </c>
      <c r="X5" s="24"/>
      <c r="Y5" s="24"/>
      <c r="Z5" s="24"/>
      <c r="AA5" s="16">
        <v>242881</v>
      </c>
      <c r="AB5" s="17"/>
      <c r="AC5" s="20">
        <v>0.04</v>
      </c>
      <c r="AD5" s="19">
        <v>59990.84</v>
      </c>
      <c r="AE5" s="20">
        <v>-1.01</v>
      </c>
      <c r="AF5" s="16">
        <v>104710000</v>
      </c>
      <c r="AG5" s="20">
        <v>0.67</v>
      </c>
      <c r="AH5" s="16">
        <v>10401000</v>
      </c>
      <c r="AI5" s="20">
        <v>0.42</v>
      </c>
      <c r="AJ5" s="7">
        <f t="shared" si="0"/>
        <v>1230920.69</v>
      </c>
      <c r="AK5" s="8">
        <f t="shared" si="0"/>
        <v>-0.79</v>
      </c>
    </row>
    <row r="6" spans="1:37" ht="22.5" x14ac:dyDescent="0.55000000000000004">
      <c r="A6" s="7" t="s">
        <v>47</v>
      </c>
      <c r="B6" s="7"/>
      <c r="C6" s="7">
        <v>1226018.98</v>
      </c>
      <c r="D6" s="8">
        <v>-0.39</v>
      </c>
      <c r="E6" s="7">
        <v>434697.54</v>
      </c>
      <c r="F6" s="8">
        <v>-0.15</v>
      </c>
      <c r="G6" s="9"/>
      <c r="H6" s="9"/>
      <c r="I6" s="7">
        <f>30986.26/1000</f>
        <v>30.986259999999998</v>
      </c>
      <c r="J6" s="24">
        <v>29.190999999999999</v>
      </c>
      <c r="K6" s="11"/>
      <c r="L6" s="11"/>
      <c r="M6" s="12"/>
      <c r="N6" s="13"/>
      <c r="O6" s="13">
        <f>63+84</f>
        <v>147</v>
      </c>
      <c r="P6" s="13">
        <f>329+181</f>
        <v>510</v>
      </c>
      <c r="Q6" s="13">
        <v>19</v>
      </c>
      <c r="R6" s="23">
        <v>1.6</v>
      </c>
      <c r="S6" s="13">
        <v>446</v>
      </c>
      <c r="T6" s="23">
        <v>46.9</v>
      </c>
      <c r="U6" s="15" t="s">
        <v>48</v>
      </c>
      <c r="V6" s="15" t="s">
        <v>49</v>
      </c>
      <c r="W6" s="24">
        <f>-307441737830*10/1000000000000</f>
        <v>-3.0744173783000002</v>
      </c>
      <c r="X6" s="24"/>
      <c r="Y6" s="24"/>
      <c r="Z6" s="24"/>
      <c r="AA6" s="16">
        <v>243411</v>
      </c>
      <c r="AB6" s="17"/>
      <c r="AC6" s="20">
        <v>0.22</v>
      </c>
      <c r="AD6" s="19">
        <v>60925.38</v>
      </c>
      <c r="AE6" s="20">
        <v>1.93</v>
      </c>
      <c r="AF6" s="16">
        <v>105080000</v>
      </c>
      <c r="AG6" s="20">
        <v>1.39</v>
      </c>
      <c r="AH6" s="16">
        <v>10391000</v>
      </c>
      <c r="AI6" s="20">
        <v>0.6</v>
      </c>
      <c r="AJ6" s="7">
        <f t="shared" si="0"/>
        <v>1226018.98</v>
      </c>
      <c r="AK6" s="8">
        <f t="shared" si="0"/>
        <v>-0.39</v>
      </c>
    </row>
    <row r="7" spans="1:37" ht="22.5" x14ac:dyDescent="0.55000000000000004">
      <c r="A7" s="7" t="s">
        <v>50</v>
      </c>
      <c r="B7" s="7"/>
      <c r="C7" s="7">
        <v>1244615.79</v>
      </c>
      <c r="D7" s="8">
        <v>1.51</v>
      </c>
      <c r="E7" s="7">
        <v>435231.48</v>
      </c>
      <c r="F7" s="8">
        <v>0.12</v>
      </c>
      <c r="G7" s="9"/>
      <c r="H7" s="9"/>
      <c r="I7" s="24">
        <v>51.604999999999997</v>
      </c>
      <c r="J7" s="24">
        <v>33.9</v>
      </c>
      <c r="K7" s="11"/>
      <c r="L7" s="11"/>
      <c r="M7" s="12"/>
      <c r="N7" s="13"/>
      <c r="O7" s="13">
        <f>91+72</f>
        <v>163</v>
      </c>
      <c r="P7" s="13">
        <f>297+162</f>
        <v>459</v>
      </c>
      <c r="Q7" s="13">
        <v>28</v>
      </c>
      <c r="R7" s="23">
        <v>2.15</v>
      </c>
      <c r="S7" s="13">
        <v>398</v>
      </c>
      <c r="T7" s="23">
        <v>56.12</v>
      </c>
      <c r="U7" s="15" t="s">
        <v>51</v>
      </c>
      <c r="V7" s="15" t="s">
        <v>52</v>
      </c>
      <c r="W7" s="20">
        <f>-27196936416*10/1000000000000</f>
        <v>-0.27196936416</v>
      </c>
      <c r="X7" s="20"/>
      <c r="Y7" s="20"/>
      <c r="Z7" s="20"/>
      <c r="AA7" s="16">
        <v>240846</v>
      </c>
      <c r="AB7" s="17"/>
      <c r="AC7" s="20">
        <v>-0.4</v>
      </c>
      <c r="AD7" s="19">
        <v>62747</v>
      </c>
      <c r="AE7" s="20">
        <v>3.16</v>
      </c>
      <c r="AF7" s="16">
        <v>104390000</v>
      </c>
      <c r="AG7" s="20">
        <v>-0.52</v>
      </c>
      <c r="AH7" s="16">
        <v>10334000</v>
      </c>
      <c r="AI7" s="20">
        <v>-0.55000000000000004</v>
      </c>
      <c r="AJ7" s="7">
        <f t="shared" si="0"/>
        <v>1244615.79</v>
      </c>
      <c r="AK7" s="8">
        <f t="shared" si="0"/>
        <v>1.51</v>
      </c>
    </row>
    <row r="8" spans="1:37" ht="22.5" x14ac:dyDescent="0.55000000000000004">
      <c r="A8" s="7" t="s">
        <v>53</v>
      </c>
      <c r="B8" s="7"/>
      <c r="C8" s="7">
        <v>1243191.9099999999</v>
      </c>
      <c r="D8" s="8">
        <v>-0.11</v>
      </c>
      <c r="E8" s="7">
        <v>434433.41</v>
      </c>
      <c r="F8" s="8">
        <v>-0.19</v>
      </c>
      <c r="G8" s="9"/>
      <c r="H8" s="9"/>
      <c r="I8" s="24">
        <v>39.200000000000003</v>
      </c>
      <c r="J8" s="24">
        <v>33.6</v>
      </c>
      <c r="K8" s="11"/>
      <c r="L8" s="11"/>
      <c r="M8" s="12"/>
      <c r="N8" s="13"/>
      <c r="O8" s="13">
        <f>44+73</f>
        <v>117</v>
      </c>
      <c r="P8" s="13">
        <f>169+338</f>
        <v>507</v>
      </c>
      <c r="Q8" s="13">
        <v>12</v>
      </c>
      <c r="R8" s="23">
        <v>1</v>
      </c>
      <c r="S8" s="13">
        <v>471</v>
      </c>
      <c r="T8" s="23">
        <v>45.8</v>
      </c>
      <c r="U8" s="15" t="s">
        <v>54</v>
      </c>
      <c r="V8" s="15" t="s">
        <v>55</v>
      </c>
      <c r="W8" s="20">
        <v>-6.3</v>
      </c>
      <c r="X8" s="20"/>
      <c r="Y8" s="20"/>
      <c r="Z8" s="20"/>
      <c r="AA8" s="16">
        <v>239918</v>
      </c>
      <c r="AB8" s="17"/>
      <c r="AC8" s="20">
        <f t="shared" ref="AC8:AC58" si="1">(AA8/AA7-1)*100</f>
        <v>-0.38530845436502981</v>
      </c>
      <c r="AD8" s="19">
        <v>64587</v>
      </c>
      <c r="AE8" s="20">
        <v>6.2</v>
      </c>
      <c r="AF8" s="16">
        <v>105640000</v>
      </c>
      <c r="AG8" s="20">
        <v>-0.63</v>
      </c>
      <c r="AH8" s="16">
        <v>10410000</v>
      </c>
      <c r="AI8" s="20">
        <v>-0.17</v>
      </c>
      <c r="AJ8" s="7">
        <f t="shared" si="0"/>
        <v>1243191.9099999999</v>
      </c>
      <c r="AK8" s="8">
        <f t="shared" si="0"/>
        <v>-0.11</v>
      </c>
    </row>
    <row r="9" spans="1:37" ht="22.5" x14ac:dyDescent="0.55000000000000004">
      <c r="A9" s="7" t="s">
        <v>56</v>
      </c>
      <c r="B9" s="7"/>
      <c r="C9" s="7">
        <v>1233723.54</v>
      </c>
      <c r="D9" s="8">
        <v>-0.77</v>
      </c>
      <c r="E9" s="7">
        <v>433336.83</v>
      </c>
      <c r="F9" s="8">
        <v>-0.26</v>
      </c>
      <c r="G9" s="9"/>
      <c r="H9" s="9"/>
      <c r="I9" s="24">
        <v>15.2</v>
      </c>
      <c r="J9" s="24">
        <f t="shared" ref="J9:J11" si="2">AVERAGE(I3:I9)</f>
        <v>36.893984919428569</v>
      </c>
      <c r="K9" s="11"/>
      <c r="L9" s="11"/>
      <c r="M9" s="12"/>
      <c r="N9" s="13"/>
      <c r="O9" s="13">
        <f>23+53</f>
        <v>76</v>
      </c>
      <c r="P9" s="13">
        <f>177+359</f>
        <v>536</v>
      </c>
      <c r="Q9" s="13">
        <v>13</v>
      </c>
      <c r="R9" s="23">
        <v>0.83</v>
      </c>
      <c r="S9" s="13">
        <v>511</v>
      </c>
      <c r="T9" s="23">
        <v>59.9</v>
      </c>
      <c r="U9" s="15" t="s">
        <v>57</v>
      </c>
      <c r="V9" s="15" t="s">
        <v>58</v>
      </c>
      <c r="W9" s="7">
        <v>-4.9000000000000004</v>
      </c>
      <c r="X9" s="7"/>
      <c r="Y9" s="7"/>
      <c r="Z9" s="7"/>
      <c r="AA9" s="16">
        <v>239948</v>
      </c>
      <c r="AB9" s="17"/>
      <c r="AC9" s="20">
        <f t="shared" si="1"/>
        <v>1.2504272293023533E-2</v>
      </c>
      <c r="AD9" s="19">
        <v>62263</v>
      </c>
      <c r="AE9" s="20">
        <v>1.1399999999999999</v>
      </c>
      <c r="AF9" s="16">
        <v>105880000</v>
      </c>
      <c r="AG9" s="20">
        <v>-0.25</v>
      </c>
      <c r="AH9" s="16">
        <v>10421000</v>
      </c>
      <c r="AI9" s="20">
        <v>-0.32</v>
      </c>
      <c r="AJ9" s="7">
        <f t="shared" si="0"/>
        <v>1233723.54</v>
      </c>
      <c r="AK9" s="8">
        <f t="shared" si="0"/>
        <v>-0.77</v>
      </c>
    </row>
    <row r="10" spans="1:37" ht="22.5" x14ac:dyDescent="0.55000000000000004">
      <c r="A10" s="7" t="s">
        <v>59</v>
      </c>
      <c r="B10" s="7"/>
      <c r="C10" s="7">
        <v>1224778.21</v>
      </c>
      <c r="D10" s="8">
        <v>-0.73</v>
      </c>
      <c r="E10" s="7">
        <v>432458.34</v>
      </c>
      <c r="F10" s="8">
        <v>-0.21</v>
      </c>
      <c r="G10" s="9"/>
      <c r="H10" s="9"/>
      <c r="I10" s="24">
        <v>14.7</v>
      </c>
      <c r="J10" s="24">
        <f t="shared" si="2"/>
        <v>31.01012777657143</v>
      </c>
      <c r="K10" s="11"/>
      <c r="L10" s="11"/>
      <c r="M10" s="12"/>
      <c r="N10" s="13"/>
      <c r="O10" s="13">
        <f>20+49</f>
        <v>69</v>
      </c>
      <c r="P10" s="13">
        <f>346+173</f>
        <v>519</v>
      </c>
      <c r="Q10" s="13">
        <v>11</v>
      </c>
      <c r="R10" s="23">
        <v>0.749</v>
      </c>
      <c r="S10" s="13">
        <v>495</v>
      </c>
      <c r="T10" s="23">
        <v>61.4</v>
      </c>
      <c r="U10" s="15" t="s">
        <v>60</v>
      </c>
      <c r="V10" s="15" t="s">
        <v>61</v>
      </c>
      <c r="W10" s="24">
        <v>-4.5999999999999996</v>
      </c>
      <c r="X10" s="24"/>
      <c r="Y10" s="24"/>
      <c r="Z10" s="24"/>
      <c r="AA10" s="16">
        <v>238810</v>
      </c>
      <c r="AB10" s="17"/>
      <c r="AC10" s="20">
        <f t="shared" si="1"/>
        <v>-0.47426942504209535</v>
      </c>
      <c r="AD10" s="19">
        <v>57422</v>
      </c>
      <c r="AE10" s="20">
        <v>-7.63</v>
      </c>
      <c r="AF10" s="16">
        <v>104010000</v>
      </c>
      <c r="AG10" s="20">
        <v>-0.35</v>
      </c>
      <c r="AH10" s="16">
        <v>10352000</v>
      </c>
      <c r="AI10" s="20">
        <v>-0.28999999999999998</v>
      </c>
      <c r="AJ10" s="7">
        <f t="shared" si="0"/>
        <v>1224778.21</v>
      </c>
      <c r="AK10" s="8">
        <f t="shared" si="0"/>
        <v>-0.73</v>
      </c>
    </row>
    <row r="11" spans="1:37" ht="22.5" x14ac:dyDescent="0.55000000000000004">
      <c r="A11" s="7" t="s">
        <v>62</v>
      </c>
      <c r="B11" s="7"/>
      <c r="C11" s="7">
        <v>1216700.8899999999</v>
      </c>
      <c r="D11" s="8">
        <v>-0.66</v>
      </c>
      <c r="E11" s="7">
        <v>431749.96</v>
      </c>
      <c r="F11" s="8">
        <v>-0.17</v>
      </c>
      <c r="G11" s="9"/>
      <c r="H11" s="9"/>
      <c r="I11" s="24">
        <v>30.5</v>
      </c>
      <c r="J11" s="24">
        <f t="shared" si="2"/>
        <v>33.050149205142858</v>
      </c>
      <c r="K11" s="11"/>
      <c r="L11" s="11"/>
      <c r="M11" s="11"/>
      <c r="N11" s="13"/>
      <c r="O11" s="13">
        <f>60+100</f>
        <v>160</v>
      </c>
      <c r="P11" s="13">
        <f>184+312</f>
        <v>496</v>
      </c>
      <c r="Q11" s="13">
        <v>13</v>
      </c>
      <c r="R11" s="23">
        <v>0.97</v>
      </c>
      <c r="S11" s="13">
        <v>442</v>
      </c>
      <c r="T11" s="23">
        <v>53.6</v>
      </c>
      <c r="U11" s="15" t="s">
        <v>63</v>
      </c>
      <c r="V11" s="15" t="s">
        <v>64</v>
      </c>
      <c r="W11" s="24">
        <v>-5.8</v>
      </c>
      <c r="X11" s="24"/>
      <c r="Y11" s="24"/>
      <c r="Z11" s="24"/>
      <c r="AA11" s="16">
        <v>238531</v>
      </c>
      <c r="AB11" s="17"/>
      <c r="AC11" s="20">
        <f t="shared" si="1"/>
        <v>-0.1168292785059255</v>
      </c>
      <c r="AD11" s="19">
        <v>56983.79</v>
      </c>
      <c r="AE11" s="20">
        <v>-1.28</v>
      </c>
      <c r="AF11" s="16">
        <v>104090000</v>
      </c>
      <c r="AG11" s="20">
        <v>-0.86</v>
      </c>
      <c r="AH11" s="16">
        <v>10367000</v>
      </c>
      <c r="AI11" s="20">
        <v>-0.27</v>
      </c>
      <c r="AJ11" s="7">
        <f t="shared" si="0"/>
        <v>1216700.8899999999</v>
      </c>
      <c r="AK11" s="8">
        <f t="shared" si="0"/>
        <v>-0.66</v>
      </c>
    </row>
    <row r="12" spans="1:37" ht="22.5" x14ac:dyDescent="0.55000000000000004">
      <c r="A12" s="7" t="s">
        <v>65</v>
      </c>
      <c r="B12" s="7"/>
      <c r="C12" s="7">
        <v>1219699.8400000001</v>
      </c>
      <c r="D12" s="8">
        <v>0.23</v>
      </c>
      <c r="E12" s="7">
        <v>431673.18</v>
      </c>
      <c r="F12" s="8">
        <v>-0.02</v>
      </c>
      <c r="G12" s="9"/>
      <c r="H12" s="9"/>
      <c r="I12" s="24">
        <v>45.04</v>
      </c>
      <c r="J12" s="24">
        <f t="shared" ref="J12:J75" si="3">AVERAGE(I4:I12)</f>
        <v>32.512321604</v>
      </c>
      <c r="K12" s="11"/>
      <c r="L12" s="11"/>
      <c r="M12" s="11"/>
      <c r="N12" s="13"/>
      <c r="O12" s="13">
        <f>75+55</f>
        <v>130</v>
      </c>
      <c r="P12" s="13">
        <f>309+159</f>
        <v>468</v>
      </c>
      <c r="Q12" s="13">
        <v>17</v>
      </c>
      <c r="R12" s="23">
        <v>0.88</v>
      </c>
      <c r="S12" s="13">
        <v>437</v>
      </c>
      <c r="T12" s="23">
        <v>49.5</v>
      </c>
      <c r="U12" s="15" t="s">
        <v>66</v>
      </c>
      <c r="V12" s="15" t="s">
        <v>67</v>
      </c>
      <c r="W12" s="24">
        <v>-2.8</v>
      </c>
      <c r="X12" s="24"/>
      <c r="Y12" s="24"/>
      <c r="Z12" s="24"/>
      <c r="AA12" s="16">
        <v>233698</v>
      </c>
      <c r="AB12" s="17"/>
      <c r="AC12" s="20">
        <f t="shared" si="1"/>
        <v>-2.0261517370907756</v>
      </c>
      <c r="AD12" s="19">
        <v>54792.34</v>
      </c>
      <c r="AE12" s="20">
        <v>-4.0999999999999996</v>
      </c>
      <c r="AF12" s="16">
        <v>100680000</v>
      </c>
      <c r="AG12" s="20">
        <v>-1.55</v>
      </c>
      <c r="AH12" s="16">
        <v>10068000</v>
      </c>
      <c r="AI12" s="20">
        <v>-1.21</v>
      </c>
      <c r="AJ12" s="7">
        <f t="shared" si="0"/>
        <v>1219699.8400000001</v>
      </c>
      <c r="AK12" s="8">
        <f t="shared" si="0"/>
        <v>0.23</v>
      </c>
    </row>
    <row r="13" spans="1:37" ht="22.5" x14ac:dyDescent="0.55000000000000004">
      <c r="A13" s="7" t="s">
        <v>68</v>
      </c>
      <c r="B13" s="7"/>
      <c r="C13" s="7">
        <v>1207062.5900000001</v>
      </c>
      <c r="D13" s="8">
        <v>-1.03</v>
      </c>
      <c r="E13" s="7">
        <v>430070.84</v>
      </c>
      <c r="F13" s="8">
        <v>-0.37</v>
      </c>
      <c r="G13" s="9">
        <v>48193000000</v>
      </c>
      <c r="H13" s="9"/>
      <c r="I13" s="24">
        <f>39019.801/1000</f>
        <v>39.019801000000001</v>
      </c>
      <c r="J13" s="24">
        <f t="shared" si="3"/>
        <v>35.045649492888892</v>
      </c>
      <c r="K13" s="11">
        <v>12049000000</v>
      </c>
      <c r="L13" s="11"/>
      <c r="M13" s="11">
        <v>54147.9</v>
      </c>
      <c r="N13" s="13"/>
      <c r="O13" s="13">
        <f>25+62</f>
        <v>87</v>
      </c>
      <c r="P13" s="13">
        <f>355+168</f>
        <v>523</v>
      </c>
      <c r="Q13" s="13">
        <v>12</v>
      </c>
      <c r="R13" s="23">
        <v>1.3</v>
      </c>
      <c r="S13" s="13">
        <v>449</v>
      </c>
      <c r="T13" s="23">
        <v>52.1</v>
      </c>
      <c r="U13" s="15" t="s">
        <v>69</v>
      </c>
      <c r="V13" s="15" t="s">
        <v>70</v>
      </c>
      <c r="W13" s="24">
        <v>-5.7</v>
      </c>
      <c r="X13" s="24"/>
      <c r="Y13" s="24"/>
      <c r="Z13" s="24"/>
      <c r="AA13" s="16">
        <v>233698</v>
      </c>
      <c r="AB13" s="17"/>
      <c r="AC13" s="20">
        <f t="shared" si="1"/>
        <v>0</v>
      </c>
      <c r="AD13" s="19">
        <v>55174</v>
      </c>
      <c r="AE13" s="20">
        <v>2.04</v>
      </c>
      <c r="AF13" s="16">
        <v>101960000</v>
      </c>
      <c r="AG13" s="20">
        <v>-0.03</v>
      </c>
      <c r="AH13" s="16">
        <v>10216000</v>
      </c>
      <c r="AI13" s="20">
        <v>-0.12</v>
      </c>
      <c r="AJ13" s="7">
        <f t="shared" si="0"/>
        <v>1207062.5900000001</v>
      </c>
      <c r="AK13" s="8">
        <f t="shared" si="0"/>
        <v>-1.03</v>
      </c>
    </row>
    <row r="14" spans="1:37" ht="22.5" x14ac:dyDescent="0.55000000000000004">
      <c r="A14" s="7" t="s">
        <v>71</v>
      </c>
      <c r="B14" s="7"/>
      <c r="C14" s="7">
        <v>1199335.6599999999</v>
      </c>
      <c r="D14" s="8">
        <v>-0.64</v>
      </c>
      <c r="E14" s="7">
        <v>429061.5</v>
      </c>
      <c r="F14" s="8">
        <v>-0.24</v>
      </c>
      <c r="G14" s="9">
        <v>47884000000</v>
      </c>
      <c r="H14" s="9"/>
      <c r="I14" s="24">
        <v>22.7</v>
      </c>
      <c r="J14" s="24">
        <f t="shared" si="3"/>
        <v>32.105673444444434</v>
      </c>
      <c r="K14" s="11">
        <v>11974000000</v>
      </c>
      <c r="L14" s="11"/>
      <c r="M14" s="11">
        <v>11861.7</v>
      </c>
      <c r="N14" s="13"/>
      <c r="O14" s="13">
        <f>26+63</f>
        <v>89</v>
      </c>
      <c r="P14" s="13">
        <f>346+155</f>
        <v>501</v>
      </c>
      <c r="Q14" s="13">
        <v>20</v>
      </c>
      <c r="R14" s="23">
        <v>1.2</v>
      </c>
      <c r="S14" s="13">
        <v>471</v>
      </c>
      <c r="T14" s="23">
        <v>53.7</v>
      </c>
      <c r="U14" s="15" t="s">
        <v>72</v>
      </c>
      <c r="V14" s="15" t="s">
        <v>73</v>
      </c>
      <c r="W14" s="24">
        <v>-3.7</v>
      </c>
      <c r="X14" s="24"/>
      <c r="Y14" s="24"/>
      <c r="Z14" s="24"/>
      <c r="AA14" s="16">
        <v>233339</v>
      </c>
      <c r="AB14" s="17"/>
      <c r="AC14" s="20">
        <f t="shared" si="1"/>
        <v>-0.15361706133556474</v>
      </c>
      <c r="AD14" s="19">
        <v>50034</v>
      </c>
      <c r="AE14" s="20">
        <v>4.59</v>
      </c>
      <c r="AF14" s="16">
        <v>100710000</v>
      </c>
      <c r="AG14" s="20">
        <v>-0.4</v>
      </c>
      <c r="AH14" s="16">
        <v>10114000</v>
      </c>
      <c r="AI14" s="20">
        <v>-0.03</v>
      </c>
      <c r="AJ14" s="7">
        <f t="shared" si="0"/>
        <v>1199335.6599999999</v>
      </c>
      <c r="AK14" s="8">
        <f t="shared" si="0"/>
        <v>-0.64</v>
      </c>
    </row>
    <row r="15" spans="1:37" ht="22.5" x14ac:dyDescent="0.55000000000000004">
      <c r="A15" s="7" t="s">
        <v>74</v>
      </c>
      <c r="B15" s="7"/>
      <c r="C15" s="7">
        <v>1187831.6499999999</v>
      </c>
      <c r="D15" s="8">
        <v>-0.96</v>
      </c>
      <c r="E15" s="7">
        <v>428131.11</v>
      </c>
      <c r="F15" s="8">
        <v>-0.22</v>
      </c>
      <c r="G15" s="9">
        <v>47426000000</v>
      </c>
      <c r="H15" s="9"/>
      <c r="I15" s="24">
        <v>30.5</v>
      </c>
      <c r="J15" s="24">
        <f t="shared" si="3"/>
        <v>32.051644555555555</v>
      </c>
      <c r="K15" s="11">
        <v>11917000000</v>
      </c>
      <c r="L15" s="11"/>
      <c r="M15" s="11">
        <v>12917.94</v>
      </c>
      <c r="N15" s="13"/>
      <c r="O15" s="13">
        <f>27+80</f>
        <v>107</v>
      </c>
      <c r="P15" s="13">
        <f>154+323</f>
        <v>477</v>
      </c>
      <c r="Q15" s="13">
        <v>15</v>
      </c>
      <c r="R15" s="23">
        <v>1.2</v>
      </c>
      <c r="S15" s="13">
        <v>445</v>
      </c>
      <c r="T15" s="23">
        <v>53.5</v>
      </c>
      <c r="U15" s="15" t="s">
        <v>75</v>
      </c>
      <c r="V15" s="15" t="s">
        <v>76</v>
      </c>
      <c r="W15" s="24">
        <v>-5.3</v>
      </c>
      <c r="X15" s="24"/>
      <c r="Y15" s="24"/>
      <c r="Z15" s="24"/>
      <c r="AA15" s="16">
        <v>233339</v>
      </c>
      <c r="AB15" s="17"/>
      <c r="AC15" s="20">
        <f t="shared" si="1"/>
        <v>0</v>
      </c>
      <c r="AD15" s="19">
        <v>49894.29</v>
      </c>
      <c r="AE15" s="20">
        <v>-0.11</v>
      </c>
      <c r="AF15" s="16">
        <v>101910000</v>
      </c>
      <c r="AG15" s="20">
        <v>1.36</v>
      </c>
      <c r="AH15" s="16">
        <v>10167000</v>
      </c>
      <c r="AI15" s="20">
        <v>1.29</v>
      </c>
      <c r="AJ15" s="7">
        <f t="shared" si="0"/>
        <v>1187831.6499999999</v>
      </c>
      <c r="AK15" s="8">
        <f t="shared" si="0"/>
        <v>-0.96</v>
      </c>
    </row>
    <row r="16" spans="1:37" ht="22.5" x14ac:dyDescent="0.55000000000000004">
      <c r="A16" s="7" t="s">
        <v>77</v>
      </c>
      <c r="B16" s="7"/>
      <c r="C16" s="7">
        <v>1186938</v>
      </c>
      <c r="D16" s="8">
        <v>-0.08</v>
      </c>
      <c r="E16" s="7">
        <v>427265</v>
      </c>
      <c r="F16" s="8">
        <v>-0.2</v>
      </c>
      <c r="G16" s="9">
        <v>47491000000</v>
      </c>
      <c r="H16" s="9"/>
      <c r="I16" s="24">
        <v>31.4</v>
      </c>
      <c r="J16" s="24">
        <f t="shared" si="3"/>
        <v>29.806644555555554</v>
      </c>
      <c r="K16" s="11">
        <v>11922000000</v>
      </c>
      <c r="L16" s="11"/>
      <c r="M16" s="11">
        <v>157204.18</v>
      </c>
      <c r="N16" s="13"/>
      <c r="O16" s="13">
        <v>148</v>
      </c>
      <c r="P16" s="13">
        <v>465</v>
      </c>
      <c r="Q16" s="13">
        <v>20</v>
      </c>
      <c r="R16" s="23">
        <v>1.2</v>
      </c>
      <c r="S16" s="13">
        <v>423</v>
      </c>
      <c r="T16" s="23">
        <v>55.7</v>
      </c>
      <c r="U16" s="15" t="s">
        <v>78</v>
      </c>
      <c r="V16" s="15" t="s">
        <v>79</v>
      </c>
      <c r="W16" s="24">
        <v>-3.4</v>
      </c>
      <c r="X16" s="24"/>
      <c r="Y16" s="24"/>
      <c r="Z16" s="24"/>
      <c r="AA16" s="16">
        <v>232805</v>
      </c>
      <c r="AB16" s="17"/>
      <c r="AC16" s="20">
        <f t="shared" si="1"/>
        <v>-0.22885158503292979</v>
      </c>
      <c r="AD16" s="19">
        <v>52885</v>
      </c>
      <c r="AE16" s="20">
        <v>6.13</v>
      </c>
      <c r="AF16" s="16">
        <v>100600000</v>
      </c>
      <c r="AG16" s="20">
        <v>-1.19</v>
      </c>
      <c r="AH16" s="16">
        <v>10063000</v>
      </c>
      <c r="AI16" s="20">
        <v>-0.85</v>
      </c>
      <c r="AJ16" s="7">
        <f t="shared" si="0"/>
        <v>1186938</v>
      </c>
      <c r="AK16" s="8">
        <f t="shared" si="0"/>
        <v>-0.08</v>
      </c>
    </row>
    <row r="17" spans="1:37" ht="22.5" x14ac:dyDescent="0.55000000000000004">
      <c r="A17" s="7" t="s">
        <v>80</v>
      </c>
      <c r="B17" s="7"/>
      <c r="C17" s="7">
        <v>1202654.25</v>
      </c>
      <c r="D17" s="8">
        <v>1.32</v>
      </c>
      <c r="E17" s="7">
        <v>427450.39</v>
      </c>
      <c r="F17" s="8">
        <v>0.04</v>
      </c>
      <c r="G17" s="9">
        <v>48120000000</v>
      </c>
      <c r="H17" s="9"/>
      <c r="I17" s="24">
        <v>43.8</v>
      </c>
      <c r="J17" s="24">
        <f t="shared" si="3"/>
        <v>30.317755666666667</v>
      </c>
      <c r="K17" s="11">
        <v>11940000000</v>
      </c>
      <c r="L17" s="11"/>
      <c r="M17" s="11">
        <v>58253.5</v>
      </c>
      <c r="N17" s="13"/>
      <c r="O17" s="13">
        <f>83+92</f>
        <v>175</v>
      </c>
      <c r="P17" s="13">
        <f>294+152</f>
        <v>446</v>
      </c>
      <c r="Q17" s="13">
        <v>16</v>
      </c>
      <c r="R17" s="23">
        <v>0.94</v>
      </c>
      <c r="S17" s="13">
        <v>424</v>
      </c>
      <c r="T17" s="23">
        <v>49.9</v>
      </c>
      <c r="U17" s="15" t="s">
        <v>81</v>
      </c>
      <c r="V17" s="15" t="s">
        <v>82</v>
      </c>
      <c r="W17" s="24">
        <v>-1.8</v>
      </c>
      <c r="X17" s="24"/>
      <c r="Y17" s="24"/>
      <c r="Z17" s="24"/>
      <c r="AA17" s="16">
        <v>233300</v>
      </c>
      <c r="AB17" s="17"/>
      <c r="AC17" s="20">
        <f t="shared" si="1"/>
        <v>0.21262429930628546</v>
      </c>
      <c r="AD17" s="19">
        <v>54432</v>
      </c>
      <c r="AE17" s="20">
        <v>2.97</v>
      </c>
      <c r="AF17" s="16">
        <v>100240000</v>
      </c>
      <c r="AG17" s="20">
        <v>0.76</v>
      </c>
      <c r="AH17" s="16">
        <v>9971000</v>
      </c>
      <c r="AI17" s="20">
        <v>0.35</v>
      </c>
      <c r="AJ17" s="7">
        <f t="shared" si="0"/>
        <v>1202654.25</v>
      </c>
      <c r="AK17" s="8">
        <f t="shared" si="0"/>
        <v>1.32</v>
      </c>
    </row>
    <row r="18" spans="1:37" ht="22.5" x14ac:dyDescent="0.55000000000000004">
      <c r="A18" s="7" t="s">
        <v>83</v>
      </c>
      <c r="B18" s="7"/>
      <c r="C18" s="7">
        <v>1207702</v>
      </c>
      <c r="D18" s="8">
        <v>0.42</v>
      </c>
      <c r="E18" s="7">
        <v>427254</v>
      </c>
      <c r="F18" s="8">
        <v>-0.05</v>
      </c>
      <c r="G18" s="9">
        <v>48326000000</v>
      </c>
      <c r="H18" s="9"/>
      <c r="I18" s="24">
        <v>44</v>
      </c>
      <c r="J18" s="24">
        <f t="shared" si="3"/>
        <v>33.517755666666666</v>
      </c>
      <c r="K18" s="11">
        <v>11960000000</v>
      </c>
      <c r="L18" s="11"/>
      <c r="M18" s="11">
        <v>10128.68</v>
      </c>
      <c r="N18" s="13"/>
      <c r="O18" s="13">
        <v>160</v>
      </c>
      <c r="P18" s="13">
        <v>441</v>
      </c>
      <c r="Q18" s="13">
        <v>23</v>
      </c>
      <c r="R18" s="23">
        <v>1.5</v>
      </c>
      <c r="S18" s="13">
        <v>400</v>
      </c>
      <c r="T18" s="23">
        <v>48.2</v>
      </c>
      <c r="U18" s="15" t="s">
        <v>84</v>
      </c>
      <c r="V18" s="15" t="s">
        <v>85</v>
      </c>
      <c r="W18" s="24">
        <v>-1.1000000000000001</v>
      </c>
      <c r="X18" s="24"/>
      <c r="Y18" s="24"/>
      <c r="Z18" s="24"/>
      <c r="AA18" s="16">
        <v>232373</v>
      </c>
      <c r="AB18" s="17"/>
      <c r="AC18" s="20">
        <f t="shared" si="1"/>
        <v>-0.39734247749678708</v>
      </c>
      <c r="AD18" s="19">
        <v>54385</v>
      </c>
      <c r="AE18" s="20">
        <v>-0.64</v>
      </c>
      <c r="AF18" s="16">
        <v>100390000</v>
      </c>
      <c r="AG18" s="20">
        <v>0.11</v>
      </c>
      <c r="AH18" s="16">
        <v>9932000</v>
      </c>
      <c r="AI18" s="20">
        <v>-0.51</v>
      </c>
      <c r="AJ18" s="7">
        <f t="shared" si="0"/>
        <v>1207702</v>
      </c>
      <c r="AK18" s="8">
        <f t="shared" si="0"/>
        <v>0.42</v>
      </c>
    </row>
    <row r="19" spans="1:37" ht="22.5" x14ac:dyDescent="0.55000000000000004">
      <c r="A19" s="7" t="s">
        <v>86</v>
      </c>
      <c r="B19" s="7"/>
      <c r="C19" s="7">
        <v>1194303.43</v>
      </c>
      <c r="D19" s="8">
        <v>-1.1200000000000001</v>
      </c>
      <c r="E19" s="7">
        <v>425664.74</v>
      </c>
      <c r="F19" s="8">
        <v>-0.38</v>
      </c>
      <c r="G19" s="9">
        <v>47786000000</v>
      </c>
      <c r="H19" s="9"/>
      <c r="I19" s="24">
        <v>37.58</v>
      </c>
      <c r="J19" s="24">
        <f t="shared" si="3"/>
        <v>36.059977888888881</v>
      </c>
      <c r="K19" s="11">
        <v>11900000000</v>
      </c>
      <c r="L19" s="11"/>
      <c r="M19" s="11">
        <v>42426.3</v>
      </c>
      <c r="N19" s="13"/>
      <c r="O19" s="13">
        <f>30+56</f>
        <v>86</v>
      </c>
      <c r="P19" s="13">
        <f>342+179</f>
        <v>521</v>
      </c>
      <c r="Q19" s="13">
        <v>23</v>
      </c>
      <c r="R19" s="23">
        <v>0.96</v>
      </c>
      <c r="S19" s="13">
        <v>434</v>
      </c>
      <c r="T19" s="23">
        <v>50.8</v>
      </c>
      <c r="U19" s="15" t="s">
        <v>87</v>
      </c>
      <c r="V19" s="15" t="s">
        <v>88</v>
      </c>
      <c r="W19" s="24">
        <v>-5.95</v>
      </c>
      <c r="X19" s="24"/>
      <c r="Y19" s="24"/>
      <c r="Z19" s="24"/>
      <c r="AA19" s="16">
        <v>230354</v>
      </c>
      <c r="AB19" s="17"/>
      <c r="AC19" s="20">
        <f t="shared" si="1"/>
        <v>-0.86886170080000547</v>
      </c>
      <c r="AD19" s="19">
        <v>57578</v>
      </c>
      <c r="AE19" s="20">
        <v>5.94</v>
      </c>
      <c r="AF19" s="16">
        <v>97520000</v>
      </c>
      <c r="AG19" s="20">
        <v>-1.94</v>
      </c>
      <c r="AH19" s="16">
        <v>9749000</v>
      </c>
      <c r="AI19" s="20">
        <v>-1.28</v>
      </c>
      <c r="AJ19" s="7">
        <f t="shared" si="0"/>
        <v>1194303.43</v>
      </c>
      <c r="AK19" s="8">
        <f t="shared" si="0"/>
        <v>-1.1200000000000001</v>
      </c>
    </row>
    <row r="20" spans="1:37" ht="22.5" x14ac:dyDescent="0.55000000000000004">
      <c r="A20" s="7" t="s">
        <v>89</v>
      </c>
      <c r="B20" s="7"/>
      <c r="C20" s="7">
        <v>1180711.3799999999</v>
      </c>
      <c r="D20" s="8">
        <v>-1.1399999999999999</v>
      </c>
      <c r="E20" s="7">
        <v>424482.12</v>
      </c>
      <c r="F20" s="8">
        <v>-0.28000000000000003</v>
      </c>
      <c r="G20" s="9">
        <v>47239000000</v>
      </c>
      <c r="H20" s="9"/>
      <c r="I20" s="24">
        <v>22.3</v>
      </c>
      <c r="J20" s="24">
        <f t="shared" si="3"/>
        <v>35.148866777777776</v>
      </c>
      <c r="K20" s="11">
        <v>11831000000</v>
      </c>
      <c r="L20" s="11"/>
      <c r="M20" s="11">
        <v>16874.66</v>
      </c>
      <c r="N20" s="13"/>
      <c r="O20" s="13">
        <f>33+67</f>
        <v>100</v>
      </c>
      <c r="P20" s="13">
        <f>154+309</f>
        <v>463</v>
      </c>
      <c r="Q20" s="13">
        <v>20</v>
      </c>
      <c r="R20" s="23">
        <v>1.1000000000000001</v>
      </c>
      <c r="S20" s="13">
        <v>406</v>
      </c>
      <c r="T20" s="23">
        <v>49</v>
      </c>
      <c r="U20" s="15" t="s">
        <v>90</v>
      </c>
      <c r="V20" s="15" t="s">
        <v>91</v>
      </c>
      <c r="W20" s="24">
        <v>-4.07</v>
      </c>
      <c r="X20" s="24"/>
      <c r="Y20" s="24"/>
      <c r="Z20" s="24"/>
      <c r="AA20" s="16">
        <v>218436</v>
      </c>
      <c r="AB20" s="17"/>
      <c r="AC20" s="20">
        <f t="shared" si="1"/>
        <v>-5.1737760143084177</v>
      </c>
      <c r="AD20" s="19">
        <v>56421</v>
      </c>
      <c r="AE20" s="20">
        <v>-2.57</v>
      </c>
      <c r="AF20" s="16">
        <v>95410000</v>
      </c>
      <c r="AG20" s="20">
        <v>-2.7</v>
      </c>
      <c r="AH20" s="16">
        <v>9440000</v>
      </c>
      <c r="AI20" s="20">
        <v>-3.01</v>
      </c>
      <c r="AJ20" s="7">
        <f t="shared" si="0"/>
        <v>1180711.3799999999</v>
      </c>
      <c r="AK20" s="8">
        <f t="shared" si="0"/>
        <v>-1.1399999999999999</v>
      </c>
    </row>
    <row r="21" spans="1:37" ht="22.5" x14ac:dyDescent="0.55000000000000004">
      <c r="A21" s="7" t="s">
        <v>92</v>
      </c>
      <c r="B21" s="25">
        <v>0.53611111111111109</v>
      </c>
      <c r="C21" s="7">
        <v>1167072.7</v>
      </c>
      <c r="D21" s="8">
        <v>-1.1499999999999999</v>
      </c>
      <c r="E21" s="7">
        <v>423019.06</v>
      </c>
      <c r="F21" s="8">
        <v>-0.35</v>
      </c>
      <c r="G21" s="9">
        <v>46694000000</v>
      </c>
      <c r="H21" s="9"/>
      <c r="I21" s="24">
        <v>19.07</v>
      </c>
      <c r="J21" s="24">
        <f t="shared" si="3"/>
        <v>32.263311222222221</v>
      </c>
      <c r="K21" s="11">
        <v>11795300000</v>
      </c>
      <c r="L21" s="11"/>
      <c r="M21" s="11">
        <v>100883.59</v>
      </c>
      <c r="N21" s="13"/>
      <c r="O21" s="13">
        <f>60+30</f>
        <v>90</v>
      </c>
      <c r="P21" s="13">
        <f>323+177</f>
        <v>500</v>
      </c>
      <c r="Q21" s="13">
        <v>14</v>
      </c>
      <c r="R21" s="23">
        <v>0.92</v>
      </c>
      <c r="S21" s="13">
        <v>428</v>
      </c>
      <c r="T21" s="23">
        <v>50.8</v>
      </c>
      <c r="U21" s="15" t="s">
        <v>93</v>
      </c>
      <c r="V21" s="15" t="s">
        <v>94</v>
      </c>
      <c r="W21" s="24">
        <v>-3.22</v>
      </c>
      <c r="X21" s="24"/>
      <c r="Y21" s="24"/>
      <c r="Z21" s="24"/>
      <c r="AA21" s="16">
        <v>217316</v>
      </c>
      <c r="AB21" s="17"/>
      <c r="AC21" s="20">
        <f t="shared" si="1"/>
        <v>-0.51273599589811703</v>
      </c>
      <c r="AD21" s="19">
        <v>58758</v>
      </c>
      <c r="AE21" s="20">
        <v>4.0999999999999996</v>
      </c>
      <c r="AF21" s="16">
        <v>94890000</v>
      </c>
      <c r="AG21" s="20">
        <v>-0.72</v>
      </c>
      <c r="AH21" s="16">
        <v>9357000</v>
      </c>
      <c r="AI21" s="20">
        <v>-0.45</v>
      </c>
      <c r="AJ21" s="7">
        <f t="shared" si="0"/>
        <v>1167072.7</v>
      </c>
      <c r="AK21" s="8">
        <f t="shared" si="0"/>
        <v>-1.1499999999999999</v>
      </c>
    </row>
    <row r="22" spans="1:37" ht="22.5" x14ac:dyDescent="0.55000000000000004">
      <c r="A22" s="7" t="s">
        <v>95</v>
      </c>
      <c r="B22" s="25">
        <v>0.54236111111111118</v>
      </c>
      <c r="C22" s="7">
        <v>1172249.7</v>
      </c>
      <c r="D22" s="8">
        <v>0.45</v>
      </c>
      <c r="E22" s="7">
        <v>422848.88</v>
      </c>
      <c r="F22" s="8">
        <v>-0.04</v>
      </c>
      <c r="G22" s="9">
        <v>46900000000</v>
      </c>
      <c r="H22" s="9"/>
      <c r="I22" s="24">
        <v>31.6</v>
      </c>
      <c r="J22" s="24">
        <f t="shared" si="3"/>
        <v>31.438888888888886</v>
      </c>
      <c r="K22" s="11">
        <v>11799000000</v>
      </c>
      <c r="L22" s="11"/>
      <c r="M22" s="11">
        <v>60493.84</v>
      </c>
      <c r="N22" s="13"/>
      <c r="O22" s="13">
        <f>63+72</f>
        <v>135</v>
      </c>
      <c r="P22" s="13">
        <f>166+290</f>
        <v>456</v>
      </c>
      <c r="Q22" s="13">
        <v>18</v>
      </c>
      <c r="R22" s="23">
        <v>0.57999999999999996</v>
      </c>
      <c r="S22" s="13">
        <v>406</v>
      </c>
      <c r="T22" s="23">
        <v>49.8</v>
      </c>
      <c r="U22" s="15" t="s">
        <v>96</v>
      </c>
      <c r="V22" s="15" t="s">
        <v>97</v>
      </c>
      <c r="W22" s="24">
        <v>-3.42</v>
      </c>
      <c r="X22" s="24"/>
      <c r="Y22" s="24"/>
      <c r="Z22" s="24"/>
      <c r="AA22" s="16">
        <v>209474</v>
      </c>
      <c r="AB22" s="17"/>
      <c r="AC22" s="20">
        <f t="shared" si="1"/>
        <v>-3.608570008651002</v>
      </c>
      <c r="AD22" s="19">
        <v>55309</v>
      </c>
      <c r="AE22" s="20">
        <v>-1.1499999999999999</v>
      </c>
      <c r="AF22" s="16">
        <v>92980000</v>
      </c>
      <c r="AG22" s="20">
        <v>-2.99</v>
      </c>
      <c r="AH22" s="16">
        <v>9128000</v>
      </c>
      <c r="AI22" s="20">
        <v>-2.91</v>
      </c>
      <c r="AJ22" s="7">
        <f t="shared" si="0"/>
        <v>1172249.7</v>
      </c>
      <c r="AK22" s="8">
        <f t="shared" si="0"/>
        <v>0.45</v>
      </c>
    </row>
    <row r="23" spans="1:37" ht="22.5" x14ac:dyDescent="0.55000000000000004">
      <c r="A23" s="7" t="s">
        <v>98</v>
      </c>
      <c r="B23" s="25">
        <v>0.54861111111111105</v>
      </c>
      <c r="C23" s="7">
        <v>1167502.6599999999</v>
      </c>
      <c r="D23" s="8">
        <v>-0.41</v>
      </c>
      <c r="E23" s="7">
        <v>422018.82</v>
      </c>
      <c r="F23" s="8">
        <v>-0.2</v>
      </c>
      <c r="G23" s="9">
        <v>46704000000</v>
      </c>
      <c r="H23" s="9"/>
      <c r="I23" s="24">
        <v>27.5</v>
      </c>
      <c r="J23" s="24">
        <f t="shared" si="3"/>
        <v>31.972222222222221</v>
      </c>
      <c r="K23" s="11">
        <v>11758000000</v>
      </c>
      <c r="L23" s="11"/>
      <c r="M23" s="11">
        <v>55009.99</v>
      </c>
      <c r="N23" s="13"/>
      <c r="O23" s="13">
        <f>72+29</f>
        <v>101</v>
      </c>
      <c r="P23" s="13">
        <f>313+148</f>
        <v>461</v>
      </c>
      <c r="Q23" s="13">
        <v>13</v>
      </c>
      <c r="R23" s="23">
        <v>0.7</v>
      </c>
      <c r="S23" s="13">
        <v>408</v>
      </c>
      <c r="T23" s="23">
        <v>54.8</v>
      </c>
      <c r="U23" s="15" t="s">
        <v>99</v>
      </c>
      <c r="V23" s="15" t="s">
        <v>100</v>
      </c>
      <c r="W23" s="24">
        <v>-4.42</v>
      </c>
      <c r="X23" s="24"/>
      <c r="Y23" s="24"/>
      <c r="Z23" s="24"/>
      <c r="AA23" s="16">
        <v>206434</v>
      </c>
      <c r="AB23" s="17"/>
      <c r="AC23" s="20">
        <f t="shared" si="1"/>
        <v>-1.4512540935867957</v>
      </c>
      <c r="AD23" s="19">
        <v>59103</v>
      </c>
      <c r="AE23" s="20">
        <v>6.08</v>
      </c>
      <c r="AF23" s="16">
        <v>94810000</v>
      </c>
      <c r="AG23" s="20">
        <v>-0.75</v>
      </c>
      <c r="AH23" s="16">
        <v>9299000</v>
      </c>
      <c r="AI23" s="20">
        <v>-1.08</v>
      </c>
      <c r="AJ23" s="7">
        <f t="shared" si="0"/>
        <v>1167502.6599999999</v>
      </c>
      <c r="AK23" s="8">
        <f t="shared" si="0"/>
        <v>-0.41</v>
      </c>
    </row>
    <row r="24" spans="1:37" ht="22.5" x14ac:dyDescent="0.55000000000000004">
      <c r="A24" s="7" t="s">
        <v>101</v>
      </c>
      <c r="B24" s="25">
        <v>0.54652777777777783</v>
      </c>
      <c r="C24" s="7">
        <v>1151871.33</v>
      </c>
      <c r="D24" s="8">
        <v>-1.34</v>
      </c>
      <c r="E24" s="7">
        <v>420811.03</v>
      </c>
      <c r="F24" s="8">
        <v>-0.28999999999999998</v>
      </c>
      <c r="G24" s="9">
        <v>46079900000</v>
      </c>
      <c r="H24" s="9"/>
      <c r="I24" s="24">
        <v>33.5</v>
      </c>
      <c r="J24" s="24">
        <f t="shared" si="3"/>
        <v>32.305555555555557</v>
      </c>
      <c r="K24" s="11">
        <v>11664800000</v>
      </c>
      <c r="L24" s="11"/>
      <c r="M24" s="11">
        <v>36024.26</v>
      </c>
      <c r="N24" s="13"/>
      <c r="O24" s="13">
        <f>26+53</f>
        <v>79</v>
      </c>
      <c r="P24" s="13">
        <f>308+160</f>
        <v>468</v>
      </c>
      <c r="Q24" s="13">
        <v>12</v>
      </c>
      <c r="R24" s="23">
        <v>0.77</v>
      </c>
      <c r="S24" s="13">
        <v>396</v>
      </c>
      <c r="T24" s="23">
        <v>53.2</v>
      </c>
      <c r="U24" s="15" t="s">
        <v>102</v>
      </c>
      <c r="V24" s="15" t="s">
        <v>103</v>
      </c>
      <c r="W24" s="24">
        <v>-7.52</v>
      </c>
      <c r="X24" s="24"/>
      <c r="Y24" s="24"/>
      <c r="Z24" s="24"/>
      <c r="AA24" s="16">
        <v>207252</v>
      </c>
      <c r="AB24" s="17"/>
      <c r="AC24" s="20">
        <f t="shared" si="1"/>
        <v>0.39625255529611714</v>
      </c>
      <c r="AD24" s="19">
        <v>58172</v>
      </c>
      <c r="AE24" s="20">
        <v>-1.9</v>
      </c>
      <c r="AF24" s="16">
        <v>94780000</v>
      </c>
      <c r="AG24" s="20">
        <v>-0.37</v>
      </c>
      <c r="AH24" s="16">
        <v>9242000</v>
      </c>
      <c r="AI24" s="20">
        <v>-0.69</v>
      </c>
      <c r="AJ24" s="7">
        <f t="shared" si="0"/>
        <v>1151871.33</v>
      </c>
      <c r="AK24" s="8">
        <f t="shared" si="0"/>
        <v>-1.34</v>
      </c>
    </row>
    <row r="25" spans="1:37" ht="22.5" x14ac:dyDescent="0.55000000000000004">
      <c r="A25" s="7" t="s">
        <v>104</v>
      </c>
      <c r="B25" s="25">
        <v>0.53819444444444442</v>
      </c>
      <c r="C25" s="7">
        <v>1157469.83</v>
      </c>
      <c r="D25" s="8">
        <v>0.48</v>
      </c>
      <c r="E25" s="7">
        <v>418488.88</v>
      </c>
      <c r="F25" s="8">
        <v>-0.55000000000000004</v>
      </c>
      <c r="G25" s="9">
        <v>46304000000</v>
      </c>
      <c r="H25" s="9"/>
      <c r="I25" s="24">
        <v>45.07</v>
      </c>
      <c r="J25" s="24">
        <f t="shared" si="3"/>
        <v>33.824444444444445</v>
      </c>
      <c r="K25" s="11">
        <v>11693000000</v>
      </c>
      <c r="L25" s="11"/>
      <c r="M25" s="11">
        <v>124884.2</v>
      </c>
      <c r="N25" s="13"/>
      <c r="O25" s="13">
        <f>89+73</f>
        <v>162</v>
      </c>
      <c r="P25" s="13">
        <f>157+262</f>
        <v>419</v>
      </c>
      <c r="Q25" s="13">
        <v>26</v>
      </c>
      <c r="R25" s="23">
        <v>1.62</v>
      </c>
      <c r="S25" s="13">
        <v>357</v>
      </c>
      <c r="T25" s="23">
        <v>47.7</v>
      </c>
      <c r="U25" s="15" t="s">
        <v>105</v>
      </c>
      <c r="V25" s="15" t="s">
        <v>106</v>
      </c>
      <c r="W25" s="24">
        <v>-0.79</v>
      </c>
      <c r="X25" s="24"/>
      <c r="Y25" s="24"/>
      <c r="Z25" s="24"/>
      <c r="AA25" s="16">
        <v>216140</v>
      </c>
      <c r="AB25" s="17"/>
      <c r="AC25" s="20">
        <f t="shared" si="1"/>
        <v>4.2884990253411415</v>
      </c>
      <c r="AD25" s="19">
        <v>58265</v>
      </c>
      <c r="AE25" s="20">
        <v>0.45</v>
      </c>
      <c r="AF25" s="16">
        <v>98370000</v>
      </c>
      <c r="AG25" s="20">
        <v>1.49</v>
      </c>
      <c r="AH25" s="16">
        <v>9572000</v>
      </c>
      <c r="AI25" s="20">
        <v>1.97</v>
      </c>
      <c r="AJ25" s="7">
        <f t="shared" si="0"/>
        <v>1157469.83</v>
      </c>
      <c r="AK25" s="8">
        <f t="shared" si="0"/>
        <v>0.48</v>
      </c>
    </row>
    <row r="26" spans="1:37" ht="22.5" x14ac:dyDescent="0.55000000000000004">
      <c r="A26" s="7" t="s">
        <v>107</v>
      </c>
      <c r="B26" s="25">
        <v>0.5541666666666667</v>
      </c>
      <c r="C26" s="7">
        <v>1179617.71</v>
      </c>
      <c r="D26" s="8">
        <v>1.89</v>
      </c>
      <c r="E26" s="7">
        <v>419250.93</v>
      </c>
      <c r="F26" s="8">
        <v>0.04</v>
      </c>
      <c r="G26" s="9">
        <v>47178000000</v>
      </c>
      <c r="H26" s="9"/>
      <c r="I26" s="24">
        <v>47.4</v>
      </c>
      <c r="J26" s="24">
        <f t="shared" si="3"/>
        <v>34.224444444444444</v>
      </c>
      <c r="K26" s="11">
        <v>11800000000</v>
      </c>
      <c r="L26" s="11"/>
      <c r="M26" s="11">
        <v>33754.1</v>
      </c>
      <c r="N26" s="13"/>
      <c r="O26" s="13">
        <f>119+75</f>
        <v>194</v>
      </c>
      <c r="P26" s="13">
        <f>160+238</f>
        <v>398</v>
      </c>
      <c r="Q26" s="13">
        <v>43</v>
      </c>
      <c r="R26" s="23">
        <v>2.7</v>
      </c>
      <c r="S26" s="13">
        <v>359</v>
      </c>
      <c r="T26" s="23">
        <v>45.08</v>
      </c>
      <c r="U26" s="15" t="s">
        <v>108</v>
      </c>
      <c r="V26" s="15" t="s">
        <v>109</v>
      </c>
      <c r="W26" s="24">
        <v>1.46</v>
      </c>
      <c r="X26" s="24"/>
      <c r="Y26" s="24"/>
      <c r="Z26" s="24"/>
      <c r="AA26" s="16">
        <v>221895</v>
      </c>
      <c r="AB26" s="17"/>
      <c r="AC26" s="20">
        <f t="shared" si="1"/>
        <v>2.6626260756916764</v>
      </c>
      <c r="AD26" s="19">
        <v>55584</v>
      </c>
      <c r="AE26" s="20">
        <v>-4.8899999999999997</v>
      </c>
      <c r="AF26" s="16">
        <v>100020000</v>
      </c>
      <c r="AG26" s="20">
        <v>0.81</v>
      </c>
      <c r="AH26" s="16">
        <v>9777000</v>
      </c>
      <c r="AI26" s="20">
        <v>0.95</v>
      </c>
      <c r="AJ26" s="7">
        <f t="shared" si="0"/>
        <v>1179617.71</v>
      </c>
      <c r="AK26" s="8">
        <f t="shared" si="0"/>
        <v>1.89</v>
      </c>
    </row>
    <row r="27" spans="1:37" ht="22.5" x14ac:dyDescent="0.55000000000000004">
      <c r="A27" s="7" t="s">
        <v>110</v>
      </c>
      <c r="B27" s="25">
        <v>0.54652777777777783</v>
      </c>
      <c r="C27" s="7">
        <v>1183967.5</v>
      </c>
      <c r="D27" s="8">
        <v>0.38</v>
      </c>
      <c r="E27" s="7">
        <v>417867.47</v>
      </c>
      <c r="F27" s="8">
        <v>-0.33</v>
      </c>
      <c r="G27" s="9">
        <v>47326000000</v>
      </c>
      <c r="H27" s="9"/>
      <c r="I27" s="24">
        <v>42.1</v>
      </c>
      <c r="J27" s="24">
        <f t="shared" si="3"/>
        <v>34.013333333333335</v>
      </c>
      <c r="K27" s="11">
        <v>11839000000</v>
      </c>
      <c r="L27" s="11"/>
      <c r="M27" s="11">
        <v>74264</v>
      </c>
      <c r="N27" s="13"/>
      <c r="O27" s="13">
        <f>75+86</f>
        <v>161</v>
      </c>
      <c r="P27" s="13">
        <f>140+276</f>
        <v>416</v>
      </c>
      <c r="Q27" s="13">
        <v>18</v>
      </c>
      <c r="R27" s="23">
        <v>1.5</v>
      </c>
      <c r="S27" s="13">
        <v>375</v>
      </c>
      <c r="T27" s="23">
        <v>45.2</v>
      </c>
      <c r="U27" s="15" t="s">
        <v>111</v>
      </c>
      <c r="V27" s="15" t="s">
        <v>112</v>
      </c>
      <c r="W27" s="24">
        <v>-4.33</v>
      </c>
      <c r="X27" s="24"/>
      <c r="Y27" s="24"/>
      <c r="Z27" s="24"/>
      <c r="AA27" s="16">
        <v>219810</v>
      </c>
      <c r="AB27" s="17"/>
      <c r="AC27" s="20">
        <f t="shared" si="1"/>
        <v>-0.93963361049145266</v>
      </c>
      <c r="AD27" s="19">
        <v>56899</v>
      </c>
      <c r="AE27" s="20">
        <v>2.73</v>
      </c>
      <c r="AF27" s="16">
        <v>100270000</v>
      </c>
      <c r="AG27" s="20">
        <v>1.06</v>
      </c>
      <c r="AH27" s="16">
        <v>9957000</v>
      </c>
      <c r="AI27" s="20">
        <v>2.81</v>
      </c>
      <c r="AJ27" s="7">
        <f t="shared" si="0"/>
        <v>1183967.5</v>
      </c>
      <c r="AK27" s="8">
        <f t="shared" si="0"/>
        <v>0.38</v>
      </c>
    </row>
    <row r="28" spans="1:37" ht="22.5" x14ac:dyDescent="0.55000000000000004">
      <c r="A28" s="7" t="s">
        <v>113</v>
      </c>
      <c r="B28" s="25">
        <v>0.55208333333333337</v>
      </c>
      <c r="C28" s="7">
        <v>1189520.28</v>
      </c>
      <c r="D28" s="8">
        <v>0.47</v>
      </c>
      <c r="E28" s="7">
        <v>414903.62</v>
      </c>
      <c r="F28" s="8">
        <v>-0.71</v>
      </c>
      <c r="G28" s="9">
        <v>47544000000</v>
      </c>
      <c r="H28" s="9"/>
      <c r="I28" s="24">
        <v>38.9</v>
      </c>
      <c r="J28" s="24">
        <f t="shared" si="3"/>
        <v>34.159999999999997</v>
      </c>
      <c r="K28" s="11">
        <v>11858000000</v>
      </c>
      <c r="L28" s="11"/>
      <c r="M28" s="11">
        <v>159279.19</v>
      </c>
      <c r="N28" s="13"/>
      <c r="O28" s="13">
        <f>95+106</f>
        <v>201</v>
      </c>
      <c r="P28" s="13">
        <f>143+269</f>
        <v>412</v>
      </c>
      <c r="Q28" s="13">
        <v>28</v>
      </c>
      <c r="R28" s="23">
        <v>2.7</v>
      </c>
      <c r="S28" s="13">
        <v>365</v>
      </c>
      <c r="T28" s="23">
        <v>45.6</v>
      </c>
      <c r="U28" s="15" t="s">
        <v>114</v>
      </c>
      <c r="V28" s="15" t="s">
        <v>115</v>
      </c>
      <c r="W28" s="24">
        <v>-1.1499999999999999</v>
      </c>
      <c r="X28" s="24"/>
      <c r="Y28" s="24"/>
      <c r="Z28" s="24"/>
      <c r="AA28" s="16">
        <v>220471</v>
      </c>
      <c r="AB28" s="17"/>
      <c r="AC28" s="20">
        <f t="shared" si="1"/>
        <v>0.30071425321869238</v>
      </c>
      <c r="AD28" s="19">
        <v>48686</v>
      </c>
      <c r="AE28" s="20">
        <v>-3.14</v>
      </c>
      <c r="AF28" s="16">
        <v>102120000</v>
      </c>
      <c r="AG28" s="20">
        <v>2.92</v>
      </c>
      <c r="AH28" s="16">
        <v>10151000</v>
      </c>
      <c r="AI28" s="20">
        <v>4.8099999999999996</v>
      </c>
      <c r="AJ28" s="7">
        <f t="shared" si="0"/>
        <v>1189520.28</v>
      </c>
      <c r="AK28" s="8">
        <f t="shared" si="0"/>
        <v>0.47</v>
      </c>
    </row>
    <row r="29" spans="1:37" ht="22.5" x14ac:dyDescent="0.55000000000000004">
      <c r="A29" s="7" t="s">
        <v>116</v>
      </c>
      <c r="B29" s="25">
        <v>0.54236111111111118</v>
      </c>
      <c r="C29" s="7">
        <v>1188804.83</v>
      </c>
      <c r="D29" s="8">
        <v>-7.0000000000000007E-2</v>
      </c>
      <c r="E29" s="7">
        <v>410703.64</v>
      </c>
      <c r="F29" s="8">
        <v>-1.01</v>
      </c>
      <c r="G29" s="9">
        <v>47497000000</v>
      </c>
      <c r="H29" s="9"/>
      <c r="I29" s="24">
        <v>34.9</v>
      </c>
      <c r="J29" s="24">
        <f t="shared" si="3"/>
        <v>35.559999999999995</v>
      </c>
      <c r="K29" s="11">
        <v>11934000000</v>
      </c>
      <c r="L29" s="11"/>
      <c r="M29" s="11">
        <v>13116.34</v>
      </c>
      <c r="N29" s="13"/>
      <c r="O29" s="13">
        <f>70+89</f>
        <v>159</v>
      </c>
      <c r="P29" s="13">
        <f>155+287</f>
        <v>442</v>
      </c>
      <c r="Q29" s="13">
        <v>28</v>
      </c>
      <c r="R29" s="23">
        <v>3.4</v>
      </c>
      <c r="S29" s="13">
        <v>341</v>
      </c>
      <c r="T29" s="23">
        <v>44.3</v>
      </c>
      <c r="U29" s="15" t="s">
        <v>117</v>
      </c>
      <c r="V29" s="15" t="s">
        <v>118</v>
      </c>
      <c r="W29" s="24">
        <v>-2.23</v>
      </c>
      <c r="X29" s="24"/>
      <c r="Y29" s="24"/>
      <c r="Z29" s="24"/>
      <c r="AA29" s="16">
        <v>223004</v>
      </c>
      <c r="AB29" s="17"/>
      <c r="AC29" s="20">
        <f t="shared" si="1"/>
        <v>1.1489039374793064</v>
      </c>
      <c r="AD29" s="19">
        <v>48926</v>
      </c>
      <c r="AE29" s="20">
        <v>0.62</v>
      </c>
      <c r="AF29" s="16">
        <v>103530000</v>
      </c>
      <c r="AG29" s="20">
        <v>0.72</v>
      </c>
      <c r="AH29" s="16">
        <v>10451000</v>
      </c>
      <c r="AI29" s="20">
        <v>1.59</v>
      </c>
      <c r="AJ29" s="7">
        <f t="shared" si="0"/>
        <v>1188804.83</v>
      </c>
      <c r="AK29" s="8">
        <f t="shared" si="0"/>
        <v>-7.0000000000000007E-2</v>
      </c>
    </row>
    <row r="30" spans="1:37" ht="22.5" x14ac:dyDescent="0.55000000000000004">
      <c r="A30" s="7" t="s">
        <v>119</v>
      </c>
      <c r="B30" s="25">
        <v>0.57638888888888895</v>
      </c>
      <c r="C30" s="7">
        <v>1174672</v>
      </c>
      <c r="D30" s="8">
        <v>-1.19</v>
      </c>
      <c r="E30" s="7">
        <v>406574</v>
      </c>
      <c r="F30" s="8">
        <v>-1.01</v>
      </c>
      <c r="G30" s="9">
        <v>46930000000</v>
      </c>
      <c r="H30" s="9"/>
      <c r="I30" s="24">
        <v>33</v>
      </c>
      <c r="J30" s="24">
        <f t="shared" si="3"/>
        <v>37.107777777777777</v>
      </c>
      <c r="K30" s="11">
        <v>11995200000</v>
      </c>
      <c r="L30" s="11"/>
      <c r="M30" s="11">
        <v>211979.55</v>
      </c>
      <c r="N30" s="13"/>
      <c r="O30" s="13">
        <v>122</v>
      </c>
      <c r="P30" s="13">
        <v>464</v>
      </c>
      <c r="Q30" s="13">
        <v>15</v>
      </c>
      <c r="R30" s="23">
        <v>2.1</v>
      </c>
      <c r="S30" s="13">
        <v>352</v>
      </c>
      <c r="T30" s="23">
        <v>41.3</v>
      </c>
      <c r="U30" s="15" t="s">
        <v>120</v>
      </c>
      <c r="V30" s="15" t="s">
        <v>121</v>
      </c>
      <c r="W30" s="24">
        <v>-4.5999999999999996</v>
      </c>
      <c r="X30" s="24"/>
      <c r="Y30" s="24"/>
      <c r="Z30" s="24"/>
      <c r="AA30" s="16">
        <v>222200</v>
      </c>
      <c r="AB30" s="17"/>
      <c r="AC30" s="20">
        <f t="shared" si="1"/>
        <v>-0.36053164965650364</v>
      </c>
      <c r="AD30" s="19">
        <v>45097</v>
      </c>
      <c r="AE30" s="20">
        <v>-2.9</v>
      </c>
      <c r="AF30" s="16">
        <v>101020000</v>
      </c>
      <c r="AG30" s="20">
        <v>-1.98</v>
      </c>
      <c r="AH30" s="16">
        <v>10142000</v>
      </c>
      <c r="AI30" s="20">
        <v>-0.36</v>
      </c>
      <c r="AJ30" s="7">
        <f t="shared" si="0"/>
        <v>1174672</v>
      </c>
      <c r="AK30" s="8">
        <f t="shared" si="0"/>
        <v>-1.19</v>
      </c>
    </row>
    <row r="31" spans="1:37" ht="22.5" x14ac:dyDescent="0.55000000000000004">
      <c r="A31" s="7" t="s">
        <v>122</v>
      </c>
      <c r="B31" s="25">
        <v>0.54861111111111105</v>
      </c>
      <c r="C31" s="7">
        <v>1173556.6200000001</v>
      </c>
      <c r="D31" s="8">
        <v>-0.09</v>
      </c>
      <c r="E31" s="7">
        <v>402792.99</v>
      </c>
      <c r="F31" s="8">
        <v>-0.93</v>
      </c>
      <c r="G31" s="9">
        <v>46966000000</v>
      </c>
      <c r="H31" s="9"/>
      <c r="I31" s="24">
        <v>33.130000000000003</v>
      </c>
      <c r="J31" s="24">
        <f t="shared" si="3"/>
        <v>37.277777777777779</v>
      </c>
      <c r="K31" s="11">
        <v>12003000000</v>
      </c>
      <c r="L31" s="11"/>
      <c r="M31" s="11">
        <v>126552.5</v>
      </c>
      <c r="N31" s="13"/>
      <c r="O31" s="13">
        <f>76+77</f>
        <v>153</v>
      </c>
      <c r="P31" s="13">
        <f>284+149</f>
        <v>433</v>
      </c>
      <c r="Q31" s="13">
        <v>17</v>
      </c>
      <c r="R31" s="23">
        <v>1.6</v>
      </c>
      <c r="S31" s="13">
        <v>338</v>
      </c>
      <c r="T31" s="23">
        <v>40.200000000000003</v>
      </c>
      <c r="U31" s="15" t="s">
        <v>123</v>
      </c>
      <c r="V31" s="15" t="s">
        <v>124</v>
      </c>
      <c r="W31" s="24">
        <v>-5.0199999999999996</v>
      </c>
      <c r="X31" s="24"/>
      <c r="Y31" s="24"/>
      <c r="Z31" s="24"/>
      <c r="AA31" s="16">
        <v>225331</v>
      </c>
      <c r="AB31" s="17"/>
      <c r="AC31" s="20">
        <f t="shared" si="1"/>
        <v>1.4090909090909154</v>
      </c>
      <c r="AD31" s="19">
        <v>45328</v>
      </c>
      <c r="AE31" s="20">
        <v>0.2</v>
      </c>
      <c r="AF31" s="16">
        <v>102640000</v>
      </c>
      <c r="AG31" s="20">
        <v>1.31</v>
      </c>
      <c r="AH31" s="16">
        <v>10313000</v>
      </c>
      <c r="AI31" s="20">
        <v>1.69</v>
      </c>
      <c r="AJ31" s="7">
        <f t="shared" si="0"/>
        <v>1173556.6200000001</v>
      </c>
      <c r="AK31" s="8">
        <f t="shared" si="0"/>
        <v>-0.09</v>
      </c>
    </row>
    <row r="32" spans="1:37" ht="22.5" x14ac:dyDescent="0.55000000000000004">
      <c r="A32" s="7" t="s">
        <v>125</v>
      </c>
      <c r="B32" s="25">
        <v>0.54166666666666663</v>
      </c>
      <c r="C32" s="7">
        <v>1154767.78</v>
      </c>
      <c r="D32" s="8">
        <v>-1.6</v>
      </c>
      <c r="E32" s="7">
        <v>396981.37</v>
      </c>
      <c r="F32" s="8">
        <v>-1.45</v>
      </c>
      <c r="G32" s="9">
        <v>46216000000</v>
      </c>
      <c r="H32" s="9"/>
      <c r="I32" s="24">
        <v>37.4</v>
      </c>
      <c r="J32" s="24">
        <f t="shared" si="3"/>
        <v>38.377777777777773</v>
      </c>
      <c r="K32" s="11">
        <v>11908000000</v>
      </c>
      <c r="L32" s="11"/>
      <c r="M32" s="11">
        <v>100470.277</v>
      </c>
      <c r="N32" s="13"/>
      <c r="O32" s="13">
        <f>37+71</f>
        <v>108</v>
      </c>
      <c r="P32" s="13">
        <f>304+160</f>
        <v>464</v>
      </c>
      <c r="Q32" s="13">
        <v>14</v>
      </c>
      <c r="R32" s="23">
        <v>1.64</v>
      </c>
      <c r="S32" s="13">
        <v>337</v>
      </c>
      <c r="T32" s="23">
        <v>44.3</v>
      </c>
      <c r="U32" s="15" t="s">
        <v>126</v>
      </c>
      <c r="V32" s="15" t="s">
        <v>127</v>
      </c>
      <c r="W32" s="24">
        <v>-5.85</v>
      </c>
      <c r="X32" s="24"/>
      <c r="Y32" s="24"/>
      <c r="Z32" s="24"/>
      <c r="AA32" s="16">
        <v>222991</v>
      </c>
      <c r="AB32" s="17"/>
      <c r="AC32" s="20">
        <f t="shared" si="1"/>
        <v>-1.0384722918728495</v>
      </c>
      <c r="AD32" s="19">
        <v>40189</v>
      </c>
      <c r="AE32" s="20">
        <v>-11.49</v>
      </c>
      <c r="AF32" s="16">
        <v>99980000</v>
      </c>
      <c r="AG32" s="20">
        <v>-2.2999999999999998</v>
      </c>
      <c r="AH32" s="16">
        <v>9985000</v>
      </c>
      <c r="AI32" s="20">
        <v>-3.05</v>
      </c>
      <c r="AJ32" s="7">
        <f t="shared" si="0"/>
        <v>1154767.78</v>
      </c>
      <c r="AK32" s="8">
        <f t="shared" si="0"/>
        <v>-1.6</v>
      </c>
    </row>
    <row r="33" spans="1:37" ht="22.5" x14ac:dyDescent="0.55000000000000004">
      <c r="A33" s="7" t="s">
        <v>128</v>
      </c>
      <c r="B33" s="25">
        <v>0.55069444444444449</v>
      </c>
      <c r="C33" s="7">
        <v>1127253.6100000001</v>
      </c>
      <c r="D33" s="8">
        <v>-2.39</v>
      </c>
      <c r="E33" s="7">
        <v>392085.09</v>
      </c>
      <c r="F33" s="8">
        <v>-1.23</v>
      </c>
      <c r="G33" s="9">
        <v>45111000000</v>
      </c>
      <c r="H33" s="9"/>
      <c r="I33" s="24">
        <v>42.6</v>
      </c>
      <c r="J33" s="24">
        <f t="shared" si="3"/>
        <v>39.388888888888886</v>
      </c>
      <c r="K33" s="11">
        <v>11826400000.000002</v>
      </c>
      <c r="L33" s="11"/>
      <c r="M33" s="11">
        <v>37834.17</v>
      </c>
      <c r="N33" s="13"/>
      <c r="O33" s="13">
        <f>24+53</f>
        <v>77</v>
      </c>
      <c r="P33" s="13">
        <f>320+168</f>
        <v>488</v>
      </c>
      <c r="Q33" s="13">
        <v>15</v>
      </c>
      <c r="R33" s="23">
        <v>1.8</v>
      </c>
      <c r="S33" s="13">
        <v>382</v>
      </c>
      <c r="T33" s="23">
        <v>46.9</v>
      </c>
      <c r="U33" s="15" t="s">
        <v>129</v>
      </c>
      <c r="V33" s="15" t="s">
        <v>130</v>
      </c>
      <c r="W33" s="24">
        <v>-9.85</v>
      </c>
      <c r="X33" s="24"/>
      <c r="Y33" s="24"/>
      <c r="Z33" s="24"/>
      <c r="AA33" s="16">
        <v>223454</v>
      </c>
      <c r="AB33" s="17"/>
      <c r="AC33" s="20">
        <f t="shared" si="1"/>
        <v>0.20763169814028704</v>
      </c>
      <c r="AD33" s="19">
        <v>36794</v>
      </c>
      <c r="AE33" s="20">
        <v>-8.1</v>
      </c>
      <c r="AF33" s="16">
        <v>100090000</v>
      </c>
      <c r="AG33" s="20">
        <v>-0.65</v>
      </c>
      <c r="AH33" s="16">
        <v>10172000</v>
      </c>
      <c r="AI33" s="20">
        <v>-0.21</v>
      </c>
      <c r="AJ33" s="7">
        <f t="shared" si="0"/>
        <v>1127253.6100000001</v>
      </c>
      <c r="AK33" s="8">
        <f t="shared" si="0"/>
        <v>-2.39</v>
      </c>
    </row>
    <row r="34" spans="1:37" ht="22.5" x14ac:dyDescent="0.55000000000000004">
      <c r="A34" s="7" t="s">
        <v>131</v>
      </c>
      <c r="B34" s="25">
        <v>0.53333333333333333</v>
      </c>
      <c r="C34" s="7">
        <v>1107796.45</v>
      </c>
      <c r="D34" s="8">
        <v>-1.81</v>
      </c>
      <c r="E34" s="7">
        <v>388201.48</v>
      </c>
      <c r="F34" s="8">
        <v>-1.01</v>
      </c>
      <c r="G34" s="9">
        <v>44294000000</v>
      </c>
      <c r="H34" s="9"/>
      <c r="I34" s="24">
        <v>30.09</v>
      </c>
      <c r="J34" s="24">
        <f t="shared" si="3"/>
        <v>37.724444444444444</v>
      </c>
      <c r="K34" s="11">
        <v>11682000000</v>
      </c>
      <c r="L34" s="11"/>
      <c r="M34" s="11">
        <v>26455.7</v>
      </c>
      <c r="N34" s="13"/>
      <c r="O34" s="13">
        <f>37+69</f>
        <v>106</v>
      </c>
      <c r="P34" s="13">
        <f>165+290</f>
        <v>455</v>
      </c>
      <c r="Q34" s="13">
        <v>20</v>
      </c>
      <c r="R34" s="23">
        <v>1.8</v>
      </c>
      <c r="S34" s="13">
        <v>357</v>
      </c>
      <c r="T34" s="23">
        <v>45.7</v>
      </c>
      <c r="U34" s="15" t="s">
        <v>132</v>
      </c>
      <c r="V34" s="15" t="s">
        <v>133</v>
      </c>
      <c r="W34" s="24">
        <v>-6.51</v>
      </c>
      <c r="X34" s="24"/>
      <c r="Y34" s="24"/>
      <c r="Z34" s="24"/>
      <c r="AA34" s="16">
        <v>223552</v>
      </c>
      <c r="AB34" s="17"/>
      <c r="AC34" s="20">
        <f t="shared" si="1"/>
        <v>4.3856901196659415E-2</v>
      </c>
      <c r="AD34" s="19">
        <v>35330</v>
      </c>
      <c r="AE34" s="20">
        <v>-3.6</v>
      </c>
      <c r="AF34" s="16">
        <v>100930000</v>
      </c>
      <c r="AG34" s="20">
        <v>0.56000000000000005</v>
      </c>
      <c r="AH34" s="16">
        <v>10287000</v>
      </c>
      <c r="AI34" s="20">
        <v>0.78</v>
      </c>
      <c r="AJ34" s="7">
        <f t="shared" si="0"/>
        <v>1107796.45</v>
      </c>
      <c r="AK34" s="8">
        <f t="shared" si="0"/>
        <v>-1.81</v>
      </c>
    </row>
    <row r="35" spans="1:37" ht="22.5" x14ac:dyDescent="0.55000000000000004">
      <c r="A35" s="7" t="s">
        <v>134</v>
      </c>
      <c r="B35" s="25">
        <v>0.53611111111111109</v>
      </c>
      <c r="C35" s="7">
        <v>1095725.74</v>
      </c>
      <c r="D35" s="8">
        <v>-1.1000000000000001</v>
      </c>
      <c r="E35" s="7">
        <v>383217.75</v>
      </c>
      <c r="F35" s="8">
        <v>-1.29</v>
      </c>
      <c r="G35" s="9">
        <v>43791600000</v>
      </c>
      <c r="H35" s="9"/>
      <c r="I35" s="24">
        <v>28.23</v>
      </c>
      <c r="J35" s="24">
        <f t="shared" si="3"/>
        <v>35.594444444444449</v>
      </c>
      <c r="K35" s="11">
        <v>11657900000</v>
      </c>
      <c r="L35" s="11"/>
      <c r="M35" s="11">
        <v>33149.629999999997</v>
      </c>
      <c r="N35" s="13"/>
      <c r="O35" s="13">
        <f>65+84</f>
        <v>149</v>
      </c>
      <c r="P35" s="13">
        <f>148+267</f>
        <v>415</v>
      </c>
      <c r="Q35" s="13">
        <v>26</v>
      </c>
      <c r="R35" s="23">
        <v>1.95</v>
      </c>
      <c r="S35" s="13">
        <v>325</v>
      </c>
      <c r="T35" s="23">
        <v>44.7</v>
      </c>
      <c r="U35" s="15" t="s">
        <v>135</v>
      </c>
      <c r="V35" s="15" t="s">
        <v>136</v>
      </c>
      <c r="W35" s="24">
        <v>-3.83</v>
      </c>
      <c r="X35" s="24"/>
      <c r="Y35" s="24"/>
      <c r="Z35" s="24"/>
      <c r="AA35" s="16">
        <v>224155</v>
      </c>
      <c r="AB35" s="17"/>
      <c r="AC35" s="20">
        <f t="shared" si="1"/>
        <v>0.26973590037218109</v>
      </c>
      <c r="AD35" s="19">
        <v>36810</v>
      </c>
      <c r="AE35" s="20">
        <v>5.6</v>
      </c>
      <c r="AF35" s="16">
        <v>102170000</v>
      </c>
      <c r="AG35" s="20">
        <v>0.83</v>
      </c>
      <c r="AH35" s="16">
        <v>10463000</v>
      </c>
      <c r="AI35" s="20">
        <v>1.66</v>
      </c>
      <c r="AJ35" s="7">
        <f t="shared" si="0"/>
        <v>1095725.74</v>
      </c>
      <c r="AK35" s="8">
        <f t="shared" si="0"/>
        <v>-1.1000000000000001</v>
      </c>
    </row>
    <row r="36" spans="1:37" ht="22.5" x14ac:dyDescent="0.55000000000000004">
      <c r="A36" s="7" t="s">
        <v>137</v>
      </c>
      <c r="B36" s="25">
        <v>0.54791666666666672</v>
      </c>
      <c r="C36" s="7">
        <v>1105444.76</v>
      </c>
      <c r="D36" s="8">
        <v>0.89</v>
      </c>
      <c r="E36" s="7">
        <v>382835.8</v>
      </c>
      <c r="F36" s="8">
        <v>-0.1</v>
      </c>
      <c r="G36" s="9">
        <v>44136000000</v>
      </c>
      <c r="H36" s="9"/>
      <c r="I36" s="24">
        <v>42.98</v>
      </c>
      <c r="J36" s="24">
        <f t="shared" si="3"/>
        <v>35.692222222222227</v>
      </c>
      <c r="K36" s="11">
        <v>11708000000</v>
      </c>
      <c r="L36" s="11"/>
      <c r="M36" s="11">
        <v>36364.89</v>
      </c>
      <c r="N36" s="13"/>
      <c r="O36" s="13">
        <f>136+86</f>
        <v>222</v>
      </c>
      <c r="P36" s="13">
        <f>220+155</f>
        <v>375</v>
      </c>
      <c r="Q36" s="13">
        <v>48</v>
      </c>
      <c r="R36" s="23">
        <v>1.86</v>
      </c>
      <c r="S36" s="13">
        <v>231</v>
      </c>
      <c r="T36" s="23">
        <v>42.6</v>
      </c>
      <c r="U36" s="15" t="s">
        <v>138</v>
      </c>
      <c r="V36" s="15" t="s">
        <v>139</v>
      </c>
      <c r="W36" s="24">
        <v>-2.88</v>
      </c>
      <c r="X36" s="24"/>
      <c r="Y36" s="24"/>
      <c r="Z36" s="24"/>
      <c r="AA36" s="16">
        <v>224160</v>
      </c>
      <c r="AB36" s="17"/>
      <c r="AC36" s="20">
        <f t="shared" si="1"/>
        <v>2.2305993620408415E-3</v>
      </c>
      <c r="AD36" s="19">
        <v>38526</v>
      </c>
      <c r="AE36" s="20">
        <v>5.77</v>
      </c>
      <c r="AF36" s="16">
        <v>100870000</v>
      </c>
      <c r="AG36" s="20">
        <v>-0.9</v>
      </c>
      <c r="AH36" s="16">
        <v>10278000</v>
      </c>
      <c r="AI36" s="20">
        <v>-0.88</v>
      </c>
      <c r="AJ36" s="7">
        <f t="shared" ref="AJ36:AK67" si="4">C36</f>
        <v>1105444.76</v>
      </c>
      <c r="AK36" s="8">
        <f t="shared" si="4"/>
        <v>0.89</v>
      </c>
    </row>
    <row r="37" spans="1:37" ht="22.5" x14ac:dyDescent="0.55000000000000004">
      <c r="A37" s="7" t="s">
        <v>140</v>
      </c>
      <c r="B37" s="25">
        <v>0.54166666666666663</v>
      </c>
      <c r="C37" s="7">
        <v>1109370.1299999999</v>
      </c>
      <c r="D37" s="8">
        <v>0.35</v>
      </c>
      <c r="E37" s="7">
        <v>383140.84</v>
      </c>
      <c r="F37" s="8">
        <v>0.08</v>
      </c>
      <c r="G37" s="9">
        <v>44299000000</v>
      </c>
      <c r="H37" s="9"/>
      <c r="I37" s="24">
        <v>34.299999999999997</v>
      </c>
      <c r="J37" s="24">
        <f t="shared" si="3"/>
        <v>35.181111111111107</v>
      </c>
      <c r="K37" s="11">
        <v>11728000000</v>
      </c>
      <c r="L37" s="11"/>
      <c r="M37" s="11">
        <v>14557.51</v>
      </c>
      <c r="N37" s="13"/>
      <c r="O37" s="13">
        <f>141+115</f>
        <v>256</v>
      </c>
      <c r="P37" s="13">
        <f>120+215</f>
        <v>335</v>
      </c>
      <c r="Q37" s="13">
        <v>79</v>
      </c>
      <c r="R37" s="23">
        <v>2.7</v>
      </c>
      <c r="S37" s="13">
        <v>300</v>
      </c>
      <c r="T37" s="23">
        <v>43.8</v>
      </c>
      <c r="U37" s="15" t="s">
        <v>141</v>
      </c>
      <c r="V37" s="15" t="s">
        <v>142</v>
      </c>
      <c r="W37" s="24">
        <v>-2.39</v>
      </c>
      <c r="X37" s="24"/>
      <c r="Y37" s="24"/>
      <c r="Z37" s="24"/>
      <c r="AA37" s="16">
        <v>225065</v>
      </c>
      <c r="AB37" s="17"/>
      <c r="AC37" s="20">
        <f t="shared" si="1"/>
        <v>0.40372947894360411</v>
      </c>
      <c r="AD37" s="19">
        <v>39982</v>
      </c>
      <c r="AE37" s="20">
        <v>3.95</v>
      </c>
      <c r="AF37" s="16">
        <v>103190000</v>
      </c>
      <c r="AG37" s="20">
        <v>2.33</v>
      </c>
      <c r="AH37" s="16">
        <v>10523000</v>
      </c>
      <c r="AI37" s="20">
        <v>1.88</v>
      </c>
      <c r="AJ37" s="7">
        <f t="shared" si="4"/>
        <v>1109370.1299999999</v>
      </c>
      <c r="AK37" s="8">
        <f t="shared" si="4"/>
        <v>0.35</v>
      </c>
    </row>
    <row r="38" spans="1:37" ht="22.5" x14ac:dyDescent="0.55000000000000004">
      <c r="A38" s="7" t="s">
        <v>143</v>
      </c>
      <c r="B38" s="25">
        <v>0.57638888888888895</v>
      </c>
      <c r="C38" s="7">
        <v>1139479</v>
      </c>
      <c r="D38" s="8">
        <v>2.72</v>
      </c>
      <c r="E38" s="7">
        <v>385613</v>
      </c>
      <c r="F38" s="8">
        <v>0.64</v>
      </c>
      <c r="G38" s="9">
        <v>45587000000</v>
      </c>
      <c r="H38" s="9"/>
      <c r="I38" s="24">
        <v>52</v>
      </c>
      <c r="J38" s="24">
        <f t="shared" si="3"/>
        <v>37.081111111111106</v>
      </c>
      <c r="K38" s="11">
        <v>11821900000</v>
      </c>
      <c r="L38" s="11"/>
      <c r="M38" s="11">
        <v>20270.34</v>
      </c>
      <c r="N38" s="13"/>
      <c r="O38" s="13">
        <v>323</v>
      </c>
      <c r="P38" s="13">
        <v>301</v>
      </c>
      <c r="Q38" s="13">
        <v>152</v>
      </c>
      <c r="R38" s="23">
        <v>9.8000000000000007</v>
      </c>
      <c r="S38" s="13">
        <v>284</v>
      </c>
      <c r="T38" s="23">
        <v>38.6</v>
      </c>
      <c r="U38" s="15" t="s">
        <v>144</v>
      </c>
      <c r="V38" s="15" t="s">
        <v>145</v>
      </c>
      <c r="W38" s="24">
        <f>0.508*10</f>
        <v>5.08</v>
      </c>
      <c r="X38" s="24"/>
      <c r="Y38" s="24"/>
      <c r="Z38" s="24"/>
      <c r="AA38" s="16">
        <v>234608</v>
      </c>
      <c r="AB38" s="17"/>
      <c r="AC38" s="20">
        <f t="shared" si="1"/>
        <v>4.2401084131250988</v>
      </c>
      <c r="AD38" s="19">
        <v>35151</v>
      </c>
      <c r="AE38" s="20">
        <v>-1.5</v>
      </c>
      <c r="AF38" s="16">
        <v>106690000</v>
      </c>
      <c r="AG38" s="20">
        <v>3.45</v>
      </c>
      <c r="AH38" s="16">
        <v>10848000</v>
      </c>
      <c r="AI38" s="20">
        <v>3.64</v>
      </c>
      <c r="AJ38" s="7">
        <f t="shared" si="4"/>
        <v>1139479</v>
      </c>
      <c r="AK38" s="8">
        <f t="shared" si="4"/>
        <v>2.72</v>
      </c>
    </row>
    <row r="39" spans="1:37" ht="22.5" x14ac:dyDescent="0.55000000000000004">
      <c r="A39" s="7" t="s">
        <v>146</v>
      </c>
      <c r="B39" s="25">
        <v>0.5541666666666667</v>
      </c>
      <c r="C39" s="7">
        <v>1156913.01</v>
      </c>
      <c r="D39" s="8">
        <v>1.52</v>
      </c>
      <c r="E39" s="7">
        <v>385536.92</v>
      </c>
      <c r="F39" s="8">
        <v>-0.02</v>
      </c>
      <c r="G39" s="9">
        <v>46277600000</v>
      </c>
      <c r="H39" s="9"/>
      <c r="I39" s="24">
        <v>58.6</v>
      </c>
      <c r="J39" s="24">
        <f t="shared" si="3"/>
        <v>39.925555555555555</v>
      </c>
      <c r="K39" s="11">
        <v>11893000000</v>
      </c>
      <c r="L39" s="11"/>
      <c r="M39" s="11">
        <v>28836.85</v>
      </c>
      <c r="N39" s="13"/>
      <c r="O39" s="13">
        <f>117+94</f>
        <v>211</v>
      </c>
      <c r="P39" s="13">
        <f>155+249</f>
        <v>404</v>
      </c>
      <c r="Q39" s="13">
        <v>39</v>
      </c>
      <c r="R39" s="23">
        <v>4.8</v>
      </c>
      <c r="S39" s="13">
        <v>290</v>
      </c>
      <c r="T39" s="23">
        <v>40.299999999999997</v>
      </c>
      <c r="U39" s="15" t="s">
        <v>147</v>
      </c>
      <c r="V39" s="15" t="s">
        <v>148</v>
      </c>
      <c r="W39" s="24">
        <v>-2.39</v>
      </c>
      <c r="X39" s="24"/>
      <c r="Y39" s="24"/>
      <c r="Z39" s="24"/>
      <c r="AA39" s="16">
        <v>236144</v>
      </c>
      <c r="AB39" s="17"/>
      <c r="AC39" s="20">
        <f t="shared" si="1"/>
        <v>0.65470913182841262</v>
      </c>
      <c r="AD39" s="19">
        <v>35778</v>
      </c>
      <c r="AE39" s="20">
        <v>-0.08</v>
      </c>
      <c r="AF39" s="16">
        <v>107290000</v>
      </c>
      <c r="AG39" s="20">
        <v>4.3</v>
      </c>
      <c r="AH39" s="16">
        <v>11019000</v>
      </c>
      <c r="AI39" s="20">
        <v>5.27</v>
      </c>
      <c r="AJ39" s="7">
        <f t="shared" si="4"/>
        <v>1156913.01</v>
      </c>
      <c r="AK39" s="8">
        <f t="shared" si="4"/>
        <v>1.52</v>
      </c>
    </row>
    <row r="40" spans="1:37" ht="22.5" x14ac:dyDescent="0.55000000000000004">
      <c r="A40" s="7" t="s">
        <v>149</v>
      </c>
      <c r="B40" s="25">
        <v>0.56874999999999998</v>
      </c>
      <c r="C40" s="7">
        <v>1145970.6000000001</v>
      </c>
      <c r="D40" s="8">
        <v>-0.95</v>
      </c>
      <c r="E40" s="7">
        <v>382996.17</v>
      </c>
      <c r="F40" s="8">
        <v>-0.66</v>
      </c>
      <c r="G40" s="9">
        <v>45835300000</v>
      </c>
      <c r="H40" s="9"/>
      <c r="I40" s="24">
        <v>42.3</v>
      </c>
      <c r="J40" s="24">
        <f t="shared" si="3"/>
        <v>40.944444444444443</v>
      </c>
      <c r="K40" s="11">
        <v>11815500000</v>
      </c>
      <c r="L40" s="11"/>
      <c r="M40" s="11">
        <v>61214.15</v>
      </c>
      <c r="N40" s="13"/>
      <c r="O40" s="13">
        <f>57+86</f>
        <v>143</v>
      </c>
      <c r="P40" s="13">
        <f>165+305</f>
        <v>470</v>
      </c>
      <c r="Q40" s="13">
        <v>36</v>
      </c>
      <c r="R40" s="23">
        <v>4.01</v>
      </c>
      <c r="S40" s="13">
        <v>318</v>
      </c>
      <c r="T40" s="23">
        <v>38.299999999999997</v>
      </c>
      <c r="U40" s="15" t="s">
        <v>150</v>
      </c>
      <c r="V40" s="15" t="s">
        <v>151</v>
      </c>
      <c r="W40" s="24">
        <v>-5.45</v>
      </c>
      <c r="X40" s="24"/>
      <c r="Y40" s="24"/>
      <c r="Z40" s="24"/>
      <c r="AA40" s="16">
        <v>234041</v>
      </c>
      <c r="AB40" s="17"/>
      <c r="AC40" s="20">
        <f t="shared" si="1"/>
        <v>-0.8905583034080955</v>
      </c>
      <c r="AD40" s="19">
        <v>36151</v>
      </c>
      <c r="AE40" s="20">
        <v>1.04</v>
      </c>
      <c r="AF40" s="16">
        <v>106120000</v>
      </c>
      <c r="AG40" s="20">
        <v>-0.34</v>
      </c>
      <c r="AH40" s="16">
        <v>10821000</v>
      </c>
      <c r="AI40" s="20">
        <v>0.19</v>
      </c>
      <c r="AJ40" s="7">
        <f t="shared" si="4"/>
        <v>1145970.6000000001</v>
      </c>
      <c r="AK40" s="8">
        <f t="shared" si="4"/>
        <v>-0.95</v>
      </c>
    </row>
    <row r="41" spans="1:37" ht="22.5" x14ac:dyDescent="0.55000000000000004">
      <c r="A41" s="7" t="s">
        <v>152</v>
      </c>
      <c r="B41" s="25">
        <v>0.58333333333333337</v>
      </c>
      <c r="C41" s="7">
        <v>1140497.46</v>
      </c>
      <c r="D41" s="8">
        <v>-0.47</v>
      </c>
      <c r="E41" s="7">
        <v>381369.46</v>
      </c>
      <c r="F41" s="8">
        <v>-0.42</v>
      </c>
      <c r="G41" s="9">
        <v>45610500000</v>
      </c>
      <c r="H41" s="9"/>
      <c r="I41" s="24">
        <v>41.4</v>
      </c>
      <c r="J41" s="24">
        <f t="shared" si="3"/>
        <v>41.388888888888886</v>
      </c>
      <c r="K41" s="11">
        <v>11784300000</v>
      </c>
      <c r="L41" s="11"/>
      <c r="M41" s="11">
        <v>27151.56</v>
      </c>
      <c r="N41" s="13"/>
      <c r="O41" s="13">
        <f>82+90</f>
        <v>172</v>
      </c>
      <c r="P41" s="13">
        <f>285+141</f>
        <v>426</v>
      </c>
      <c r="Q41" s="13">
        <v>47</v>
      </c>
      <c r="R41" s="23">
        <v>4.3</v>
      </c>
      <c r="S41" s="13">
        <v>265</v>
      </c>
      <c r="T41" s="23">
        <v>34.5</v>
      </c>
      <c r="U41" s="15" t="s">
        <v>153</v>
      </c>
      <c r="V41" s="15" t="s">
        <v>154</v>
      </c>
      <c r="W41" s="24">
        <v>-3.34</v>
      </c>
      <c r="X41" s="24"/>
      <c r="Y41" s="24"/>
      <c r="Z41" s="24"/>
      <c r="AA41" s="16">
        <v>234959</v>
      </c>
      <c r="AB41" s="17"/>
      <c r="AC41" s="20">
        <f t="shared" si="1"/>
        <v>0.39223896667677227</v>
      </c>
      <c r="AD41" s="19">
        <v>36122</v>
      </c>
      <c r="AE41" s="20">
        <v>-0.3</v>
      </c>
      <c r="AF41" s="16">
        <v>107960000</v>
      </c>
      <c r="AG41" s="20">
        <v>1.39</v>
      </c>
      <c r="AH41" s="16">
        <v>10936000</v>
      </c>
      <c r="AI41" s="20">
        <v>1.26</v>
      </c>
      <c r="AJ41" s="7">
        <f t="shared" si="4"/>
        <v>1140497.46</v>
      </c>
      <c r="AK41" s="8">
        <f t="shared" si="4"/>
        <v>-0.47</v>
      </c>
    </row>
    <row r="42" spans="1:37" ht="22.5" x14ac:dyDescent="0.55000000000000004">
      <c r="A42" s="7" t="s">
        <v>155</v>
      </c>
      <c r="B42" s="25">
        <v>0.54166666666666663</v>
      </c>
      <c r="C42" s="7">
        <v>1148665.8700000001</v>
      </c>
      <c r="D42" s="8">
        <v>0.72</v>
      </c>
      <c r="E42" s="7">
        <v>382036.58</v>
      </c>
      <c r="F42" s="8">
        <v>0.17</v>
      </c>
      <c r="G42" s="9">
        <v>45926300000</v>
      </c>
      <c r="H42" s="9"/>
      <c r="I42" s="24">
        <v>48.34</v>
      </c>
      <c r="J42" s="24">
        <f t="shared" si="3"/>
        <v>42.026666666666671</v>
      </c>
      <c r="K42" s="11">
        <v>11788400000</v>
      </c>
      <c r="L42" s="11"/>
      <c r="M42" s="11">
        <v>21810</v>
      </c>
      <c r="N42" s="13"/>
      <c r="O42" s="13">
        <f>187+135</f>
        <v>322</v>
      </c>
      <c r="P42" s="13">
        <f>103+175</f>
        <v>278</v>
      </c>
      <c r="Q42" s="13">
        <v>83</v>
      </c>
      <c r="R42" s="23">
        <v>4.2</v>
      </c>
      <c r="S42" s="13">
        <v>233</v>
      </c>
      <c r="T42" s="23">
        <v>33.700000000000003</v>
      </c>
      <c r="U42" s="15" t="s">
        <v>156</v>
      </c>
      <c r="V42" s="15" t="s">
        <v>157</v>
      </c>
      <c r="W42" s="24">
        <v>-8.6999999999999994E-2</v>
      </c>
      <c r="X42" s="24"/>
      <c r="Y42" s="24"/>
      <c r="Z42" s="24"/>
      <c r="AA42" s="16">
        <v>233383</v>
      </c>
      <c r="AB42" s="17"/>
      <c r="AC42" s="20">
        <f t="shared" si="1"/>
        <v>-0.67075532326916765</v>
      </c>
      <c r="AD42" s="19">
        <v>37114</v>
      </c>
      <c r="AE42" s="20">
        <v>2.33</v>
      </c>
      <c r="AF42" s="16">
        <v>108510000</v>
      </c>
      <c r="AG42" s="20">
        <v>-0.25</v>
      </c>
      <c r="AH42" s="16">
        <v>10925000</v>
      </c>
      <c r="AI42" s="20">
        <v>-0.36</v>
      </c>
      <c r="AJ42" s="7">
        <f t="shared" si="4"/>
        <v>1148665.8700000001</v>
      </c>
      <c r="AK42" s="8">
        <f t="shared" si="4"/>
        <v>0.72</v>
      </c>
    </row>
    <row r="43" spans="1:37" ht="22.5" x14ac:dyDescent="0.55000000000000004">
      <c r="A43" s="7" t="s">
        <v>158</v>
      </c>
      <c r="B43" s="25">
        <v>0.53472222222222221</v>
      </c>
      <c r="C43" s="7">
        <v>1157229.74</v>
      </c>
      <c r="D43" s="8">
        <v>0.75</v>
      </c>
      <c r="E43" s="7">
        <v>383829.33</v>
      </c>
      <c r="F43" s="8">
        <v>0.47</v>
      </c>
      <c r="G43" s="9">
        <v>46269000000</v>
      </c>
      <c r="H43" s="9"/>
      <c r="I43" s="24">
        <v>46.84</v>
      </c>
      <c r="J43" s="24">
        <f t="shared" si="3"/>
        <v>43.887777777777778</v>
      </c>
      <c r="K43" s="11">
        <v>11803000000</v>
      </c>
      <c r="L43" s="11"/>
      <c r="M43" s="11">
        <v>78092</v>
      </c>
      <c r="N43" s="13"/>
      <c r="O43" s="13">
        <f>179+135</f>
        <v>314</v>
      </c>
      <c r="P43" s="13">
        <f>100+170</f>
        <v>270</v>
      </c>
      <c r="Q43" s="13">
        <v>102</v>
      </c>
      <c r="R43" s="23">
        <v>3.56</v>
      </c>
      <c r="S43" s="13">
        <v>209</v>
      </c>
      <c r="T43" s="23">
        <v>32.22</v>
      </c>
      <c r="U43" s="15" t="s">
        <v>159</v>
      </c>
      <c r="V43" s="15" t="s">
        <v>160</v>
      </c>
      <c r="W43" s="24">
        <v>1.07</v>
      </c>
      <c r="X43" s="24"/>
      <c r="Y43" s="24"/>
      <c r="Z43" s="24"/>
      <c r="AA43" s="16">
        <v>235908</v>
      </c>
      <c r="AB43" s="17"/>
      <c r="AC43" s="20">
        <f t="shared" si="1"/>
        <v>1.0819125643255934</v>
      </c>
      <c r="AD43" s="19">
        <v>36073</v>
      </c>
      <c r="AE43" s="20">
        <v>-0.47</v>
      </c>
      <c r="AF43" s="16">
        <v>108370000</v>
      </c>
      <c r="AG43" s="20">
        <v>1.1100000000000001</v>
      </c>
      <c r="AH43" s="16">
        <v>10851000</v>
      </c>
      <c r="AI43" s="20">
        <v>0.54</v>
      </c>
      <c r="AJ43" s="7">
        <f t="shared" si="4"/>
        <v>1157229.74</v>
      </c>
      <c r="AK43" s="8">
        <f t="shared" si="4"/>
        <v>0.75</v>
      </c>
    </row>
    <row r="44" spans="1:37" ht="22.5" x14ac:dyDescent="0.55000000000000004">
      <c r="A44" s="7" t="s">
        <v>161</v>
      </c>
      <c r="B44" s="25">
        <v>0.57638888888888895</v>
      </c>
      <c r="C44" s="7">
        <v>1160568.48</v>
      </c>
      <c r="D44" s="8">
        <v>0.28999999999999998</v>
      </c>
      <c r="E44" s="7">
        <v>383942.07</v>
      </c>
      <c r="F44" s="8">
        <v>0.03</v>
      </c>
      <c r="G44" s="9">
        <v>46360000000</v>
      </c>
      <c r="H44" s="9"/>
      <c r="I44" s="24">
        <v>53.36</v>
      </c>
      <c r="J44" s="24">
        <f t="shared" si="3"/>
        <v>46.68</v>
      </c>
      <c r="K44" s="11">
        <v>11760000000</v>
      </c>
      <c r="L44" s="11"/>
      <c r="M44" s="11">
        <v>19024</v>
      </c>
      <c r="N44" s="13"/>
      <c r="O44" s="13">
        <f>120+121</f>
        <v>241</v>
      </c>
      <c r="P44" s="13">
        <f>114+233</f>
        <v>347</v>
      </c>
      <c r="Q44" s="13">
        <v>46</v>
      </c>
      <c r="R44" s="23">
        <v>1.92</v>
      </c>
      <c r="S44" s="13">
        <v>215</v>
      </c>
      <c r="T44" s="23">
        <v>29.79</v>
      </c>
      <c r="U44" s="15" t="s">
        <v>162</v>
      </c>
      <c r="V44" s="15" t="s">
        <v>163</v>
      </c>
      <c r="W44" s="24">
        <v>-2.64</v>
      </c>
      <c r="X44" s="24"/>
      <c r="Y44" s="24"/>
      <c r="Z44" s="24"/>
      <c r="AA44" s="16">
        <v>235499</v>
      </c>
      <c r="AB44" s="17"/>
      <c r="AC44" s="20">
        <f t="shared" si="1"/>
        <v>-0.17337267070214324</v>
      </c>
      <c r="AD44" s="19">
        <v>32940</v>
      </c>
      <c r="AE44" s="20">
        <v>-9.06</v>
      </c>
      <c r="AF44" s="16">
        <v>106820000</v>
      </c>
      <c r="AG44" s="20">
        <v>-0.81</v>
      </c>
      <c r="AH44" s="16">
        <v>10788000</v>
      </c>
      <c r="AI44" s="20">
        <v>-0.6</v>
      </c>
      <c r="AJ44" s="7">
        <f t="shared" si="4"/>
        <v>1160568.48</v>
      </c>
      <c r="AK44" s="8">
        <f t="shared" si="4"/>
        <v>0.28999999999999998</v>
      </c>
    </row>
    <row r="45" spans="1:37" ht="22.5" x14ac:dyDescent="0.55000000000000004">
      <c r="A45" s="7" t="s">
        <v>164</v>
      </c>
      <c r="B45" s="25">
        <v>0.55902777777777779</v>
      </c>
      <c r="C45" s="7">
        <v>1151841.8799999999</v>
      </c>
      <c r="D45" s="8">
        <v>-0.76</v>
      </c>
      <c r="E45" s="7">
        <v>380747.66</v>
      </c>
      <c r="F45" s="8">
        <v>-0.83</v>
      </c>
      <c r="G45" s="9">
        <v>46003000000</v>
      </c>
      <c r="H45" s="9"/>
      <c r="I45" s="24">
        <v>62.2</v>
      </c>
      <c r="J45" s="24">
        <f t="shared" si="3"/>
        <v>48.815555555555555</v>
      </c>
      <c r="K45" s="11">
        <v>11641000000</v>
      </c>
      <c r="L45" s="11"/>
      <c r="M45" s="11">
        <v>88319.9</v>
      </c>
      <c r="N45" s="13"/>
      <c r="O45" s="13">
        <f>81+102</f>
        <v>183</v>
      </c>
      <c r="P45" s="13">
        <f>142+283</f>
        <v>425</v>
      </c>
      <c r="Q45" s="13">
        <v>34</v>
      </c>
      <c r="R45" s="23">
        <v>1.06</v>
      </c>
      <c r="S45" s="13">
        <v>216</v>
      </c>
      <c r="T45" s="23">
        <v>27.59</v>
      </c>
      <c r="U45" s="15" t="s">
        <v>165</v>
      </c>
      <c r="V45" s="15" t="s">
        <v>166</v>
      </c>
      <c r="W45" s="24">
        <v>-4.3600000000000003</v>
      </c>
      <c r="X45" s="24"/>
      <c r="Y45" s="24"/>
      <c r="Z45" s="24"/>
      <c r="AA45" s="16">
        <v>235966</v>
      </c>
      <c r="AB45" s="17"/>
      <c r="AC45" s="20">
        <f t="shared" si="1"/>
        <v>0.19830232824766814</v>
      </c>
      <c r="AD45" s="19">
        <v>34044</v>
      </c>
      <c r="AE45" s="20">
        <v>2.74</v>
      </c>
      <c r="AF45" s="16">
        <v>107970000</v>
      </c>
      <c r="AG45" s="20">
        <v>1.23</v>
      </c>
      <c r="AH45" s="16">
        <v>10795000</v>
      </c>
      <c r="AI45" s="20">
        <v>0.45</v>
      </c>
      <c r="AJ45" s="7">
        <f t="shared" si="4"/>
        <v>1151841.8799999999</v>
      </c>
      <c r="AK45" s="8">
        <f t="shared" si="4"/>
        <v>-0.76</v>
      </c>
    </row>
    <row r="46" spans="1:37" ht="22.5" x14ac:dyDescent="0.55000000000000004">
      <c r="A46" s="7" t="s">
        <v>167</v>
      </c>
      <c r="B46" s="25">
        <v>0.54652777777777783</v>
      </c>
      <c r="C46" s="7">
        <v>1144872.8700000001</v>
      </c>
      <c r="D46" s="8">
        <v>-0.61</v>
      </c>
      <c r="E46" s="7">
        <v>378453.35</v>
      </c>
      <c r="F46" s="8">
        <v>-0.6</v>
      </c>
      <c r="G46" s="9">
        <v>45700000000</v>
      </c>
      <c r="H46" s="9"/>
      <c r="I46" s="24">
        <v>33.700000000000003</v>
      </c>
      <c r="J46" s="24">
        <f t="shared" si="3"/>
        <v>48.748888888888892</v>
      </c>
      <c r="K46" s="11">
        <v>11620000000</v>
      </c>
      <c r="L46" s="11"/>
      <c r="M46" s="11">
        <v>126661.4</v>
      </c>
      <c r="N46" s="13"/>
      <c r="O46" s="13">
        <f>81+85</f>
        <v>166</v>
      </c>
      <c r="P46" s="13">
        <f>170+266</f>
        <v>436</v>
      </c>
      <c r="Q46" s="13">
        <v>24</v>
      </c>
      <c r="R46" s="23">
        <v>1.8</v>
      </c>
      <c r="S46" s="13">
        <v>232</v>
      </c>
      <c r="T46" s="23">
        <v>29.3</v>
      </c>
      <c r="U46" s="15" t="s">
        <v>168</v>
      </c>
      <c r="V46" s="15" t="s">
        <v>169</v>
      </c>
      <c r="W46" s="24">
        <v>-4.6399999999999997</v>
      </c>
      <c r="X46" s="24"/>
      <c r="Y46" s="24"/>
      <c r="Z46" s="24"/>
      <c r="AA46" s="16">
        <v>233359</v>
      </c>
      <c r="AB46" s="17"/>
      <c r="AC46" s="20">
        <f t="shared" si="1"/>
        <v>-1.104820185958999</v>
      </c>
      <c r="AD46" s="19">
        <v>35293</v>
      </c>
      <c r="AE46" s="20">
        <v>-4.8899999999999997</v>
      </c>
      <c r="AF46" s="16">
        <v>105060000</v>
      </c>
      <c r="AG46" s="20">
        <v>-0.78</v>
      </c>
      <c r="AH46" s="16">
        <v>10601000</v>
      </c>
      <c r="AI46" s="20">
        <v>-1.26</v>
      </c>
      <c r="AJ46" s="7">
        <f t="shared" si="4"/>
        <v>1144872.8700000001</v>
      </c>
      <c r="AK46" s="8">
        <f t="shared" si="4"/>
        <v>-0.61</v>
      </c>
    </row>
    <row r="47" spans="1:37" ht="22.5" x14ac:dyDescent="0.55000000000000004">
      <c r="A47" s="7" t="s">
        <v>170</v>
      </c>
      <c r="B47" s="25">
        <v>0.52986111111111112</v>
      </c>
      <c r="C47" s="7">
        <v>1141291.79</v>
      </c>
      <c r="D47" s="8">
        <v>-0.32</v>
      </c>
      <c r="E47" s="7">
        <v>377233.8</v>
      </c>
      <c r="F47" s="8">
        <v>-0.32</v>
      </c>
      <c r="G47" s="9">
        <v>45564000000</v>
      </c>
      <c r="H47" s="9">
        <v>29800</v>
      </c>
      <c r="I47" s="24">
        <v>29.8</v>
      </c>
      <c r="J47" s="24">
        <f t="shared" si="3"/>
        <v>46.282222222222224</v>
      </c>
      <c r="K47" s="11">
        <v>11594000000</v>
      </c>
      <c r="L47" s="11"/>
      <c r="M47" s="11">
        <v>87036.5</v>
      </c>
      <c r="N47" s="13"/>
      <c r="O47" s="13">
        <f>125+111</f>
        <v>236</v>
      </c>
      <c r="P47" s="13">
        <f>225+133</f>
        <v>358</v>
      </c>
      <c r="Q47" s="13">
        <v>35</v>
      </c>
      <c r="R47" s="23">
        <v>2.5</v>
      </c>
      <c r="S47" s="13">
        <v>208</v>
      </c>
      <c r="T47" s="23">
        <v>25.9</v>
      </c>
      <c r="U47" s="15" t="s">
        <v>171</v>
      </c>
      <c r="V47" s="15" t="s">
        <v>172</v>
      </c>
      <c r="W47" s="24">
        <v>-2.91</v>
      </c>
      <c r="X47" s="24"/>
      <c r="Y47" s="24"/>
      <c r="Z47" s="24"/>
      <c r="AA47" s="16">
        <v>235005</v>
      </c>
      <c r="AB47" s="17"/>
      <c r="AC47" s="20">
        <f t="shared" si="1"/>
        <v>0.70535098282045183</v>
      </c>
      <c r="AD47" s="19">
        <v>35353</v>
      </c>
      <c r="AE47" s="20">
        <v>0.01</v>
      </c>
      <c r="AF47" s="16">
        <v>106880000</v>
      </c>
      <c r="AG47" s="20">
        <v>1.41</v>
      </c>
      <c r="AH47" s="16">
        <v>10754000</v>
      </c>
      <c r="AI47" s="20">
        <v>1.06</v>
      </c>
      <c r="AJ47" s="7">
        <f t="shared" si="4"/>
        <v>1141291.79</v>
      </c>
      <c r="AK47" s="8">
        <f t="shared" si="4"/>
        <v>-0.32</v>
      </c>
    </row>
    <row r="48" spans="1:37" ht="22.5" x14ac:dyDescent="0.55000000000000004">
      <c r="A48" s="7" t="s">
        <v>173</v>
      </c>
      <c r="B48" s="25">
        <v>0.54722222222222217</v>
      </c>
      <c r="C48" s="7">
        <v>1150215.8999999999</v>
      </c>
      <c r="D48" s="8">
        <v>0.79</v>
      </c>
      <c r="E48" s="7">
        <v>376328.93</v>
      </c>
      <c r="F48" s="8">
        <v>-0.24</v>
      </c>
      <c r="G48" s="9">
        <v>45910000000</v>
      </c>
      <c r="H48" s="9">
        <v>47400</v>
      </c>
      <c r="I48" s="24">
        <v>47.39</v>
      </c>
      <c r="J48" s="24">
        <f t="shared" si="3"/>
        <v>45.036666666666662</v>
      </c>
      <c r="K48" s="11">
        <v>11600000000</v>
      </c>
      <c r="L48" s="11"/>
      <c r="M48" s="11">
        <v>192233</v>
      </c>
      <c r="N48" s="13"/>
      <c r="O48" s="13">
        <f>177+109</f>
        <v>286</v>
      </c>
      <c r="P48" s="13">
        <f>195+143</f>
        <v>338</v>
      </c>
      <c r="Q48" s="13">
        <v>55</v>
      </c>
      <c r="R48" s="23">
        <v>2.8</v>
      </c>
      <c r="S48" s="13">
        <v>196</v>
      </c>
      <c r="T48" s="23">
        <v>24.1</v>
      </c>
      <c r="U48" s="15" t="s">
        <v>174</v>
      </c>
      <c r="V48" s="15" t="s">
        <v>175</v>
      </c>
      <c r="W48" s="24">
        <v>-1.32</v>
      </c>
      <c r="X48" s="24"/>
      <c r="Y48" s="24"/>
      <c r="Z48" s="24"/>
      <c r="AA48" s="16">
        <v>235747</v>
      </c>
      <c r="AB48" s="17"/>
      <c r="AC48" s="20">
        <f t="shared" si="1"/>
        <v>0.31573796302206691</v>
      </c>
      <c r="AD48" s="19">
        <v>39535</v>
      </c>
      <c r="AE48" s="20">
        <v>11.88</v>
      </c>
      <c r="AF48" s="16">
        <v>106130000</v>
      </c>
      <c r="AG48" s="20">
        <v>-0.88</v>
      </c>
      <c r="AH48" s="16">
        <v>10705000</v>
      </c>
      <c r="AI48" s="20">
        <v>-0.5</v>
      </c>
      <c r="AJ48" s="7">
        <f t="shared" si="4"/>
        <v>1150215.8999999999</v>
      </c>
      <c r="AK48" s="8">
        <f t="shared" si="4"/>
        <v>0.79</v>
      </c>
    </row>
    <row r="49" spans="1:37" ht="22.5" x14ac:dyDescent="0.55000000000000004">
      <c r="A49" s="7" t="s">
        <v>176</v>
      </c>
      <c r="B49" s="25">
        <v>0.55694444444444446</v>
      </c>
      <c r="C49" s="7">
        <v>1150159.23</v>
      </c>
      <c r="D49" s="8">
        <v>0</v>
      </c>
      <c r="E49" s="7">
        <v>373374.33</v>
      </c>
      <c r="F49" s="8">
        <v>-0.78</v>
      </c>
      <c r="G49" s="9"/>
      <c r="H49" s="9"/>
      <c r="I49" s="24">
        <v>52.3</v>
      </c>
      <c r="J49" s="24">
        <f t="shared" si="3"/>
        <v>46.147777777777776</v>
      </c>
      <c r="K49" s="11"/>
      <c r="L49" s="11"/>
      <c r="M49" s="11"/>
      <c r="N49" s="13"/>
      <c r="O49" s="13">
        <f>80+84</f>
        <v>164</v>
      </c>
      <c r="P49" s="13">
        <f>162+281</f>
        <v>443</v>
      </c>
      <c r="Q49" s="13">
        <v>28</v>
      </c>
      <c r="R49" s="23">
        <v>1.88</v>
      </c>
      <c r="S49" s="13">
        <v>210</v>
      </c>
      <c r="T49" s="23">
        <v>23.95</v>
      </c>
      <c r="U49" s="15" t="s">
        <v>177</v>
      </c>
      <c r="V49" s="15" t="s">
        <v>178</v>
      </c>
      <c r="W49" s="24">
        <v>-5.91</v>
      </c>
      <c r="X49" s="24"/>
      <c r="Y49" s="24"/>
      <c r="Z49" s="24"/>
      <c r="AA49" s="16">
        <v>235747</v>
      </c>
      <c r="AB49" s="17"/>
      <c r="AC49" s="20">
        <f t="shared" si="1"/>
        <v>0</v>
      </c>
      <c r="AD49" s="19">
        <v>39724</v>
      </c>
      <c r="AE49" s="20">
        <v>-1.43</v>
      </c>
      <c r="AF49" s="16">
        <v>106580000</v>
      </c>
      <c r="AG49" s="20">
        <v>0.38</v>
      </c>
      <c r="AH49" s="16">
        <v>10717000</v>
      </c>
      <c r="AI49" s="20">
        <v>0.33</v>
      </c>
      <c r="AJ49" s="7">
        <f t="shared" si="4"/>
        <v>1150159.23</v>
      </c>
      <c r="AK49" s="8">
        <f t="shared" si="4"/>
        <v>0</v>
      </c>
    </row>
    <row r="50" spans="1:37" ht="22.5" x14ac:dyDescent="0.55000000000000004">
      <c r="A50" s="7" t="s">
        <v>179</v>
      </c>
      <c r="B50" s="25">
        <v>0.56180555555555556</v>
      </c>
      <c r="C50" s="7">
        <v>1147669.33</v>
      </c>
      <c r="D50" s="8">
        <v>-0.21</v>
      </c>
      <c r="E50" s="7">
        <v>370585.59999999998</v>
      </c>
      <c r="F50" s="8">
        <v>-0.75</v>
      </c>
      <c r="G50" s="9"/>
      <c r="H50" s="9"/>
      <c r="I50" s="24">
        <v>35.4</v>
      </c>
      <c r="J50" s="24">
        <f t="shared" si="3"/>
        <v>45.481111111111112</v>
      </c>
      <c r="K50" s="11"/>
      <c r="L50" s="11"/>
      <c r="M50" s="11"/>
      <c r="N50" s="13"/>
      <c r="O50" s="13">
        <f>91+111</f>
        <v>202</v>
      </c>
      <c r="P50" s="13">
        <f>262+132</f>
        <v>394</v>
      </c>
      <c r="Q50" s="13">
        <v>46</v>
      </c>
      <c r="R50" s="23">
        <v>3.49</v>
      </c>
      <c r="S50" s="13">
        <v>202</v>
      </c>
      <c r="T50" s="23">
        <v>23.33</v>
      </c>
      <c r="U50" s="15" t="s">
        <v>180</v>
      </c>
      <c r="V50" s="15" t="s">
        <v>181</v>
      </c>
      <c r="W50" s="24">
        <v>-2.48</v>
      </c>
      <c r="X50" s="24"/>
      <c r="Y50" s="24"/>
      <c r="Z50" s="24"/>
      <c r="AA50" s="16">
        <v>236277</v>
      </c>
      <c r="AB50" s="17"/>
      <c r="AC50" s="20">
        <f t="shared" si="1"/>
        <v>0.22481728293466396</v>
      </c>
      <c r="AD50" s="19">
        <v>40063</v>
      </c>
      <c r="AE50" s="20">
        <v>0.67</v>
      </c>
      <c r="AF50" s="16">
        <v>107310000</v>
      </c>
      <c r="AG50" s="20">
        <v>0.56000000000000005</v>
      </c>
      <c r="AH50" s="16">
        <v>10754000</v>
      </c>
      <c r="AI50" s="20">
        <v>0.35</v>
      </c>
      <c r="AJ50" s="7">
        <f t="shared" si="4"/>
        <v>1147669.33</v>
      </c>
      <c r="AK50" s="8">
        <f t="shared" si="4"/>
        <v>-0.21</v>
      </c>
    </row>
    <row r="51" spans="1:37" ht="22.5" x14ac:dyDescent="0.55000000000000004">
      <c r="A51" s="7" t="s">
        <v>182</v>
      </c>
      <c r="B51" s="25">
        <v>0.53333333333333333</v>
      </c>
      <c r="C51" s="7">
        <v>1161985.1299999999</v>
      </c>
      <c r="D51" s="8">
        <v>1.25</v>
      </c>
      <c r="E51" s="7">
        <v>370795.05</v>
      </c>
      <c r="F51" s="8">
        <v>0.06</v>
      </c>
      <c r="G51" s="9"/>
      <c r="H51" s="9"/>
      <c r="I51" s="24">
        <v>49.32</v>
      </c>
      <c r="J51" s="24">
        <f t="shared" si="3"/>
        <v>45.59</v>
      </c>
      <c r="K51" s="11"/>
      <c r="L51" s="11"/>
      <c r="M51" s="11"/>
      <c r="N51" s="13"/>
      <c r="O51" s="13">
        <f>187+126</f>
        <v>313</v>
      </c>
      <c r="P51" s="13">
        <f>170+131</f>
        <v>301</v>
      </c>
      <c r="Q51" s="13">
        <v>69</v>
      </c>
      <c r="R51" s="23">
        <v>5.51</v>
      </c>
      <c r="S51" s="13">
        <v>191</v>
      </c>
      <c r="T51" s="23">
        <v>22.27</v>
      </c>
      <c r="U51" s="15" t="s">
        <v>183</v>
      </c>
      <c r="V51" s="15" t="s">
        <v>184</v>
      </c>
      <c r="W51" s="24">
        <v>-0.77</v>
      </c>
      <c r="X51" s="24"/>
      <c r="Y51" s="24"/>
      <c r="Z51" s="24"/>
      <c r="AA51" s="16">
        <v>239270</v>
      </c>
      <c r="AB51" s="17"/>
      <c r="AC51" s="20">
        <f t="shared" si="1"/>
        <v>1.2667335373311772</v>
      </c>
      <c r="AD51" s="19">
        <v>35727</v>
      </c>
      <c r="AE51" s="20">
        <v>-5.56</v>
      </c>
      <c r="AF51" s="16">
        <v>104880000</v>
      </c>
      <c r="AG51" s="20">
        <v>-2.27</v>
      </c>
      <c r="AH51" s="16">
        <v>10384000</v>
      </c>
      <c r="AI51" s="20">
        <v>-2.6</v>
      </c>
      <c r="AJ51" s="7">
        <f t="shared" si="4"/>
        <v>1161985.1299999999</v>
      </c>
      <c r="AK51" s="8">
        <f t="shared" si="4"/>
        <v>1.25</v>
      </c>
    </row>
    <row r="52" spans="1:37" ht="22.5" x14ac:dyDescent="0.55000000000000004">
      <c r="A52" s="7" t="s">
        <v>185</v>
      </c>
      <c r="B52" s="25">
        <v>0.55902777777777779</v>
      </c>
      <c r="C52" s="7">
        <v>1163723.32</v>
      </c>
      <c r="D52" s="8">
        <v>0.15</v>
      </c>
      <c r="E52" s="7">
        <v>369887.49</v>
      </c>
      <c r="F52" s="8">
        <v>-0.25</v>
      </c>
      <c r="G52" s="9"/>
      <c r="H52" s="9"/>
      <c r="I52" s="24">
        <v>50.15</v>
      </c>
      <c r="J52" s="24">
        <f t="shared" si="3"/>
        <v>45.957777777777771</v>
      </c>
      <c r="K52" s="11"/>
      <c r="L52" s="11"/>
      <c r="M52" s="11"/>
      <c r="N52" s="13"/>
      <c r="O52" s="13">
        <f>115+110</f>
        <v>225</v>
      </c>
      <c r="P52" s="13">
        <f>243+146</f>
        <v>389</v>
      </c>
      <c r="Q52" s="13">
        <v>44</v>
      </c>
      <c r="R52" s="23">
        <v>2.82</v>
      </c>
      <c r="S52" s="13">
        <v>193</v>
      </c>
      <c r="T52" s="23">
        <v>23.09</v>
      </c>
      <c r="U52" s="15" t="s">
        <v>186</v>
      </c>
      <c r="V52" s="15" t="s">
        <v>187</v>
      </c>
      <c r="W52" s="24">
        <v>-5.52</v>
      </c>
      <c r="X52" s="24"/>
      <c r="Y52" s="24"/>
      <c r="Z52" s="24"/>
      <c r="AA52" s="16">
        <v>235319</v>
      </c>
      <c r="AB52" s="17"/>
      <c r="AC52" s="20">
        <f t="shared" si="1"/>
        <v>-1.6512726208885331</v>
      </c>
      <c r="AD52" s="19">
        <v>35360</v>
      </c>
      <c r="AE52" s="20">
        <v>-1.53</v>
      </c>
      <c r="AF52" s="16">
        <v>102030000</v>
      </c>
      <c r="AG52" s="20">
        <v>1.1000000000000001</v>
      </c>
      <c r="AH52" s="16">
        <v>1021000</v>
      </c>
      <c r="AI52" s="20">
        <v>0.63</v>
      </c>
      <c r="AJ52" s="7">
        <f t="shared" si="4"/>
        <v>1163723.32</v>
      </c>
      <c r="AK52" s="8">
        <f t="shared" si="4"/>
        <v>0.15</v>
      </c>
    </row>
    <row r="53" spans="1:37" ht="22.5" x14ac:dyDescent="0.55000000000000004">
      <c r="A53" s="7" t="s">
        <v>188</v>
      </c>
      <c r="B53" s="25">
        <v>0.55555555555555558</v>
      </c>
      <c r="C53" s="7">
        <v>1168594.1200000001</v>
      </c>
      <c r="D53" s="8">
        <v>0.42</v>
      </c>
      <c r="E53" s="7">
        <v>370025.61</v>
      </c>
      <c r="F53" s="8">
        <v>0.04</v>
      </c>
      <c r="G53" s="9"/>
      <c r="H53" s="9"/>
      <c r="I53" s="24">
        <v>63.43</v>
      </c>
      <c r="J53" s="24">
        <f t="shared" si="3"/>
        <v>47.076666666666661</v>
      </c>
      <c r="K53" s="11"/>
      <c r="L53" s="11"/>
      <c r="M53" s="11"/>
      <c r="N53" s="13"/>
      <c r="O53" s="13">
        <f>189+133</f>
        <v>322</v>
      </c>
      <c r="P53" s="13">
        <f>177+119</f>
        <v>296</v>
      </c>
      <c r="Q53" s="13">
        <v>83</v>
      </c>
      <c r="R53" s="23">
        <v>4.78</v>
      </c>
      <c r="S53" s="13">
        <v>174</v>
      </c>
      <c r="T53" s="23">
        <v>21.3</v>
      </c>
      <c r="U53" s="15" t="s">
        <v>189</v>
      </c>
      <c r="V53" s="15" t="s">
        <v>190</v>
      </c>
      <c r="W53" s="24">
        <v>-1.59</v>
      </c>
      <c r="X53" s="24"/>
      <c r="Y53" s="24"/>
      <c r="Z53" s="24"/>
      <c r="AA53" s="16">
        <v>236561</v>
      </c>
      <c r="AB53" s="17"/>
      <c r="AC53" s="20">
        <f t="shared" si="1"/>
        <v>0.5277941857648516</v>
      </c>
      <c r="AD53" s="26">
        <v>33153</v>
      </c>
      <c r="AE53" s="20">
        <v>-6.26</v>
      </c>
      <c r="AF53" s="16">
        <v>103370000</v>
      </c>
      <c r="AG53" s="20">
        <v>0.34</v>
      </c>
      <c r="AH53" s="16">
        <v>10313000</v>
      </c>
      <c r="AI53" s="20">
        <v>0.28999999999999998</v>
      </c>
      <c r="AJ53" s="7">
        <f t="shared" si="4"/>
        <v>1168594.1200000001</v>
      </c>
      <c r="AK53" s="8">
        <f t="shared" si="4"/>
        <v>0.42</v>
      </c>
    </row>
    <row r="54" spans="1:37" ht="22.5" x14ac:dyDescent="0.55000000000000004">
      <c r="A54" s="7" t="s">
        <v>191</v>
      </c>
      <c r="B54" s="25">
        <v>0.54027777777777775</v>
      </c>
      <c r="C54" s="7">
        <v>1186895.1000000001</v>
      </c>
      <c r="D54" s="8">
        <v>1.56</v>
      </c>
      <c r="E54" s="7">
        <v>373182.98</v>
      </c>
      <c r="F54" s="8">
        <v>0.85</v>
      </c>
      <c r="G54" s="9"/>
      <c r="H54" s="9"/>
      <c r="I54" s="24">
        <v>72.790000000000006</v>
      </c>
      <c r="J54" s="24">
        <f t="shared" si="3"/>
        <v>48.253333333333337</v>
      </c>
      <c r="K54" s="11"/>
      <c r="L54" s="11"/>
      <c r="M54" s="11"/>
      <c r="N54" s="13"/>
      <c r="O54" s="13">
        <f>237+148</f>
        <v>385</v>
      </c>
      <c r="P54" s="13">
        <f>137+101</f>
        <v>238</v>
      </c>
      <c r="Q54" s="13">
        <v>109</v>
      </c>
      <c r="R54" s="23">
        <v>8.3000000000000007</v>
      </c>
      <c r="S54" s="13">
        <v>168</v>
      </c>
      <c r="T54" s="23">
        <v>22.03</v>
      </c>
      <c r="U54" s="15" t="s">
        <v>192</v>
      </c>
      <c r="V54" s="15" t="s">
        <v>193</v>
      </c>
      <c r="W54" s="24">
        <v>2.02</v>
      </c>
      <c r="X54" s="24"/>
      <c r="Y54" s="24"/>
      <c r="Z54" s="24"/>
      <c r="AA54" s="16">
        <v>238463</v>
      </c>
      <c r="AB54" s="17"/>
      <c r="AC54" s="20">
        <f t="shared" si="1"/>
        <v>0.80402095019889153</v>
      </c>
      <c r="AD54" s="19">
        <v>31821</v>
      </c>
      <c r="AE54" s="20">
        <v>-3.88</v>
      </c>
      <c r="AF54" s="16">
        <v>104030000</v>
      </c>
      <c r="AG54" s="20">
        <v>0.48</v>
      </c>
      <c r="AH54" s="16">
        <v>10419000</v>
      </c>
      <c r="AI54" s="20">
        <v>0.65</v>
      </c>
      <c r="AJ54" s="7">
        <f t="shared" si="4"/>
        <v>1186895.1000000001</v>
      </c>
      <c r="AK54" s="8">
        <f t="shared" si="4"/>
        <v>1.56</v>
      </c>
    </row>
    <row r="55" spans="1:37" ht="22.5" x14ac:dyDescent="0.55000000000000004">
      <c r="A55" s="7" t="s">
        <v>194</v>
      </c>
      <c r="B55" s="25">
        <v>0.54861111111111105</v>
      </c>
      <c r="C55" s="7">
        <v>1213015.22</v>
      </c>
      <c r="D55" s="8">
        <v>2.2000000000000002</v>
      </c>
      <c r="E55" s="7">
        <v>376873.22</v>
      </c>
      <c r="F55" s="8">
        <v>0.99</v>
      </c>
      <c r="G55" s="9"/>
      <c r="H55" s="9"/>
      <c r="I55" s="24">
        <v>67.8</v>
      </c>
      <c r="J55" s="24">
        <f t="shared" si="3"/>
        <v>52.042222222222229</v>
      </c>
      <c r="K55" s="11"/>
      <c r="L55" s="11"/>
      <c r="M55" s="11"/>
      <c r="N55" s="13"/>
      <c r="O55" s="13">
        <f>238+136</f>
        <v>374</v>
      </c>
      <c r="P55" s="13">
        <f>136+113</f>
        <v>249</v>
      </c>
      <c r="Q55" s="13">
        <v>135</v>
      </c>
      <c r="R55" s="23">
        <v>7.94</v>
      </c>
      <c r="S55" s="13">
        <v>169</v>
      </c>
      <c r="T55" s="23">
        <v>20.09</v>
      </c>
      <c r="U55" s="15" t="s">
        <v>195</v>
      </c>
      <c r="V55" s="15" t="s">
        <v>196</v>
      </c>
      <c r="W55" s="24">
        <v>3.46</v>
      </c>
      <c r="X55" s="24"/>
      <c r="Y55" s="24"/>
      <c r="Z55" s="24"/>
      <c r="AA55" s="16">
        <v>238442</v>
      </c>
      <c r="AB55" s="17"/>
      <c r="AC55" s="20">
        <f t="shared" si="1"/>
        <v>-8.8063976382057874E-3</v>
      </c>
      <c r="AD55" s="19">
        <v>34102</v>
      </c>
      <c r="AE55" s="20">
        <v>6.51</v>
      </c>
      <c r="AF55" s="16">
        <v>103610000</v>
      </c>
      <c r="AG55" s="20">
        <v>-0.25</v>
      </c>
      <c r="AH55" s="16">
        <v>10396000</v>
      </c>
      <c r="AI55" s="20">
        <v>-0.42</v>
      </c>
      <c r="AJ55" s="7">
        <f t="shared" si="4"/>
        <v>1213015.22</v>
      </c>
      <c r="AK55" s="8">
        <f t="shared" si="4"/>
        <v>2.2000000000000002</v>
      </c>
    </row>
    <row r="56" spans="1:37" ht="22.5" x14ac:dyDescent="0.55000000000000004">
      <c r="A56" s="7" t="s">
        <v>197</v>
      </c>
      <c r="B56" s="25">
        <v>0.54166666666666663</v>
      </c>
      <c r="C56" s="7">
        <v>1233783.22</v>
      </c>
      <c r="D56" s="8">
        <v>1.71</v>
      </c>
      <c r="E56" s="7">
        <v>380903.84</v>
      </c>
      <c r="F56" s="8">
        <v>1.07</v>
      </c>
      <c r="G56" s="9"/>
      <c r="H56" s="9"/>
      <c r="I56" s="24">
        <v>63.66</v>
      </c>
      <c r="J56" s="24">
        <f t="shared" si="3"/>
        <v>55.804444444444442</v>
      </c>
      <c r="K56" s="11"/>
      <c r="L56" s="11"/>
      <c r="M56" s="11"/>
      <c r="N56" s="13"/>
      <c r="O56" s="13">
        <f>215+144</f>
        <v>359</v>
      </c>
      <c r="P56" s="13">
        <f>155+106</f>
        <v>261</v>
      </c>
      <c r="Q56" s="13">
        <v>95</v>
      </c>
      <c r="R56" s="23">
        <v>6.7</v>
      </c>
      <c r="S56" s="13">
        <v>148</v>
      </c>
      <c r="T56" s="23">
        <v>23.6</v>
      </c>
      <c r="U56" s="15" t="s">
        <v>198</v>
      </c>
      <c r="V56" s="15" t="s">
        <v>199</v>
      </c>
      <c r="W56" s="24">
        <v>3.33</v>
      </c>
      <c r="X56" s="24"/>
      <c r="Y56" s="24"/>
      <c r="Z56" s="24"/>
      <c r="AA56" s="16">
        <v>240380</v>
      </c>
      <c r="AB56" s="17"/>
      <c r="AC56" s="20">
        <f t="shared" si="1"/>
        <v>0.81277627263653951</v>
      </c>
      <c r="AD56" s="19">
        <v>30568</v>
      </c>
      <c r="AE56" s="20">
        <v>-10.49</v>
      </c>
      <c r="AF56" s="16">
        <v>105500000</v>
      </c>
      <c r="AG56" s="20">
        <v>2.37</v>
      </c>
      <c r="AH56" s="16">
        <v>10525000</v>
      </c>
      <c r="AI56" s="20">
        <v>1.81</v>
      </c>
      <c r="AJ56" s="7">
        <f t="shared" si="4"/>
        <v>1233783.22</v>
      </c>
      <c r="AK56" s="8">
        <f t="shared" si="4"/>
        <v>1.71</v>
      </c>
    </row>
    <row r="57" spans="1:37" ht="22.5" x14ac:dyDescent="0.55000000000000004">
      <c r="A57" s="7" t="s">
        <v>200</v>
      </c>
      <c r="B57" s="25">
        <v>0.54027777777777775</v>
      </c>
      <c r="C57" s="7">
        <v>1238485.8500000001</v>
      </c>
      <c r="D57" s="8">
        <v>0.38</v>
      </c>
      <c r="E57" s="7">
        <v>382326.14</v>
      </c>
      <c r="F57" s="8">
        <v>0.37</v>
      </c>
      <c r="G57" s="9"/>
      <c r="H57" s="9"/>
      <c r="I57" s="24">
        <v>72.900000000000006</v>
      </c>
      <c r="J57" s="24">
        <f t="shared" si="3"/>
        <v>58.638888888888886</v>
      </c>
      <c r="K57" s="11"/>
      <c r="L57" s="11"/>
      <c r="M57" s="11"/>
      <c r="N57" s="13"/>
      <c r="O57" s="13">
        <f>169+120</f>
        <v>289</v>
      </c>
      <c r="P57" s="13">
        <f>204+124</f>
        <v>328</v>
      </c>
      <c r="Q57" s="13">
        <v>89</v>
      </c>
      <c r="R57" s="23">
        <v>7.3</v>
      </c>
      <c r="S57" s="13">
        <v>145</v>
      </c>
      <c r="T57" s="23">
        <v>23.1</v>
      </c>
      <c r="U57" s="15" t="s">
        <v>201</v>
      </c>
      <c r="V57" s="15" t="s">
        <v>202</v>
      </c>
      <c r="W57" s="24">
        <v>0.372</v>
      </c>
      <c r="X57" s="24"/>
      <c r="Y57" s="24"/>
      <c r="Z57" s="24"/>
      <c r="AA57" s="16">
        <v>240380</v>
      </c>
      <c r="AB57" s="17"/>
      <c r="AC57" s="20">
        <f t="shared" si="1"/>
        <v>0</v>
      </c>
      <c r="AD57" s="19">
        <v>33339</v>
      </c>
      <c r="AE57" s="20">
        <v>10.14</v>
      </c>
      <c r="AF57" s="16">
        <v>104920000</v>
      </c>
      <c r="AG57" s="20">
        <v>-0.04</v>
      </c>
      <c r="AH57" s="16">
        <v>10479000</v>
      </c>
      <c r="AI57" s="20">
        <v>-0.17</v>
      </c>
      <c r="AJ57" s="7">
        <f t="shared" si="4"/>
        <v>1238485.8500000001</v>
      </c>
      <c r="AK57" s="8">
        <f t="shared" si="4"/>
        <v>0.38</v>
      </c>
    </row>
    <row r="58" spans="1:37" ht="22.5" x14ac:dyDescent="0.55000000000000004">
      <c r="A58" s="7" t="s">
        <v>203</v>
      </c>
      <c r="B58" s="25">
        <v>0.60277777777777775</v>
      </c>
      <c r="C58" s="7">
        <v>1243812.3</v>
      </c>
      <c r="D58" s="8">
        <v>0.42</v>
      </c>
      <c r="E58" s="7">
        <v>382248</v>
      </c>
      <c r="F58" s="8">
        <v>-0.03</v>
      </c>
      <c r="G58" s="9">
        <v>49609497.868000001</v>
      </c>
      <c r="H58" s="9">
        <v>62450.362999999998</v>
      </c>
      <c r="I58" s="24">
        <v>62.4</v>
      </c>
      <c r="J58" s="24">
        <f t="shared" si="3"/>
        <v>59.761111111111113</v>
      </c>
      <c r="K58" s="11">
        <v>11788944.557</v>
      </c>
      <c r="L58" s="11"/>
      <c r="M58" s="11">
        <v>156198.05300000001</v>
      </c>
      <c r="N58" s="13"/>
      <c r="O58" s="13">
        <v>273</v>
      </c>
      <c r="P58" s="13">
        <v>350</v>
      </c>
      <c r="Q58" s="13">
        <v>94</v>
      </c>
      <c r="R58" s="23">
        <v>4.4000000000000004</v>
      </c>
      <c r="S58" s="13">
        <v>154</v>
      </c>
      <c r="T58" s="23">
        <v>23.2</v>
      </c>
      <c r="U58" s="15" t="s">
        <v>204</v>
      </c>
      <c r="V58" s="15" t="s">
        <v>205</v>
      </c>
      <c r="W58" s="24">
        <v>0.14000000000000001</v>
      </c>
      <c r="X58" s="24"/>
      <c r="Y58" s="24"/>
      <c r="Z58" s="24"/>
      <c r="AA58" s="16">
        <v>244288</v>
      </c>
      <c r="AB58" s="17"/>
      <c r="AC58" s="20">
        <f t="shared" si="1"/>
        <v>1.6257592145769273</v>
      </c>
      <c r="AD58" s="19">
        <v>34451</v>
      </c>
      <c r="AE58" s="20">
        <v>-0.71</v>
      </c>
      <c r="AF58" s="16">
        <v>107010000</v>
      </c>
      <c r="AG58" s="20">
        <v>0.86</v>
      </c>
      <c r="AH58" s="16">
        <v>10664000</v>
      </c>
      <c r="AI58" s="20">
        <v>0.75</v>
      </c>
      <c r="AJ58" s="7">
        <f t="shared" si="4"/>
        <v>1243812.3</v>
      </c>
      <c r="AK58" s="8">
        <f t="shared" si="4"/>
        <v>0.42</v>
      </c>
    </row>
    <row r="59" spans="1:37" ht="22.5" x14ac:dyDescent="0.55000000000000004">
      <c r="A59" s="7" t="s">
        <v>206</v>
      </c>
      <c r="B59" s="25">
        <v>0.54166666666666663</v>
      </c>
      <c r="C59" s="7">
        <v>1248540.06</v>
      </c>
      <c r="D59" s="27">
        <f t="shared" ref="D59:D122" si="5">C59/C58-1</f>
        <v>3.8010236753567295E-3</v>
      </c>
      <c r="E59" s="7">
        <v>382525.41</v>
      </c>
      <c r="F59" s="27">
        <f t="shared" ref="F59:F313" si="6">E59/E58-1</f>
        <v>7.2573303195833105E-4</v>
      </c>
      <c r="G59" s="9">
        <v>49775940.354000002</v>
      </c>
      <c r="H59" s="9">
        <v>54355.750999999997</v>
      </c>
      <c r="I59" s="24">
        <f t="shared" ref="I59:I122" si="7">H59/1000</f>
        <v>54.355750999999998</v>
      </c>
      <c r="J59" s="24">
        <f t="shared" si="3"/>
        <v>61.867305666666653</v>
      </c>
      <c r="K59" s="11">
        <v>11898025.743000001</v>
      </c>
      <c r="L59" s="11"/>
      <c r="M59" s="11">
        <v>42493.455999999998</v>
      </c>
      <c r="N59" s="13"/>
      <c r="O59" s="13">
        <f>198+159</f>
        <v>357</v>
      </c>
      <c r="P59" s="13">
        <f>179+93</f>
        <v>272</v>
      </c>
      <c r="Q59" s="13">
        <v>81</v>
      </c>
      <c r="R59" s="23">
        <v>4.8499999999999996</v>
      </c>
      <c r="S59" s="13">
        <v>149</v>
      </c>
      <c r="T59" s="23">
        <v>21.99</v>
      </c>
      <c r="U59" s="15" t="s">
        <v>207</v>
      </c>
      <c r="V59" s="15" t="s">
        <v>208</v>
      </c>
      <c r="W59" s="24">
        <v>-1.1100000000000001</v>
      </c>
      <c r="X59" s="24"/>
      <c r="Y59" s="24"/>
      <c r="Z59" s="24"/>
      <c r="AA59" s="16">
        <v>249230</v>
      </c>
      <c r="AB59" s="17"/>
      <c r="AC59" s="27">
        <f t="shared" ref="AC59:AC122" si="8">(AA59/AA58-1)</f>
        <v>2.0230220068116367E-2</v>
      </c>
      <c r="AD59" s="19">
        <v>35032.660000000003</v>
      </c>
      <c r="AE59" s="20">
        <v>0.44</v>
      </c>
      <c r="AF59" s="16">
        <v>108170000</v>
      </c>
      <c r="AG59" s="20">
        <v>1.21</v>
      </c>
      <c r="AH59" s="16">
        <v>10738000</v>
      </c>
      <c r="AI59" s="20">
        <v>0.76</v>
      </c>
      <c r="AJ59" s="7">
        <f t="shared" si="4"/>
        <v>1248540.06</v>
      </c>
      <c r="AK59" s="27">
        <f t="shared" si="4"/>
        <v>3.8010236753567295E-3</v>
      </c>
    </row>
    <row r="60" spans="1:37" ht="22.5" x14ac:dyDescent="0.55000000000000004">
      <c r="A60" s="7" t="s">
        <v>209</v>
      </c>
      <c r="B60" s="25">
        <v>0.54375000000000007</v>
      </c>
      <c r="C60" s="7">
        <v>1256978.2</v>
      </c>
      <c r="D60" s="27">
        <f t="shared" si="5"/>
        <v>6.7584054932126048E-3</v>
      </c>
      <c r="E60" s="7">
        <v>384180.31</v>
      </c>
      <c r="F60" s="27">
        <f t="shared" si="6"/>
        <v>4.3262485490833669E-3</v>
      </c>
      <c r="G60" s="9">
        <v>50109020.821000002</v>
      </c>
      <c r="H60" s="9">
        <v>58448.156000000003</v>
      </c>
      <c r="I60" s="24">
        <f t="shared" si="7"/>
        <v>58.448156000000004</v>
      </c>
      <c r="J60" s="24">
        <f t="shared" si="3"/>
        <v>62.881545222222222</v>
      </c>
      <c r="K60" s="11">
        <v>11979819.665999999</v>
      </c>
      <c r="L60" s="11"/>
      <c r="M60" s="11">
        <v>26075.047999999999</v>
      </c>
      <c r="N60" s="13"/>
      <c r="O60" s="13">
        <f>197+159</f>
        <v>356</v>
      </c>
      <c r="P60" s="13">
        <f>166+81</f>
        <v>247</v>
      </c>
      <c r="Q60" s="13">
        <v>87</v>
      </c>
      <c r="R60" s="23">
        <v>5.08</v>
      </c>
      <c r="S60" s="13">
        <v>128</v>
      </c>
      <c r="T60" s="23">
        <v>20.8</v>
      </c>
      <c r="U60" s="15" t="s">
        <v>210</v>
      </c>
      <c r="V60" s="15" t="s">
        <v>211</v>
      </c>
      <c r="W60" s="24">
        <v>1.52</v>
      </c>
      <c r="X60" s="24"/>
      <c r="Y60" s="24"/>
      <c r="Z60" s="24"/>
      <c r="AA60" s="16">
        <v>249793</v>
      </c>
      <c r="AB60" s="17"/>
      <c r="AC60" s="27">
        <f t="shared" si="8"/>
        <v>2.2589575893752212E-3</v>
      </c>
      <c r="AD60" s="19">
        <v>35259</v>
      </c>
      <c r="AE60" s="20">
        <v>0.41</v>
      </c>
      <c r="AF60" s="16">
        <v>108090000</v>
      </c>
      <c r="AG60" s="20">
        <v>0.61</v>
      </c>
      <c r="AH60" s="16">
        <v>10684000</v>
      </c>
      <c r="AI60" s="20">
        <v>0.4</v>
      </c>
      <c r="AJ60" s="7">
        <f t="shared" si="4"/>
        <v>1256978.2</v>
      </c>
      <c r="AK60" s="27">
        <f t="shared" si="4"/>
        <v>6.7584054932126048E-3</v>
      </c>
    </row>
    <row r="61" spans="1:37" ht="22.5" x14ac:dyDescent="0.55000000000000004">
      <c r="A61" s="7" t="s">
        <v>212</v>
      </c>
      <c r="B61" s="25">
        <v>0.5625</v>
      </c>
      <c r="C61" s="7">
        <v>1246111.8999999999</v>
      </c>
      <c r="D61" s="27">
        <f t="shared" si="5"/>
        <v>-8.6447799969801009E-3</v>
      </c>
      <c r="E61" s="7">
        <v>382850</v>
      </c>
      <c r="F61" s="27">
        <f t="shared" si="6"/>
        <v>-3.4627230114943064E-3</v>
      </c>
      <c r="G61" s="9">
        <v>49644791.346000001</v>
      </c>
      <c r="H61" s="9">
        <v>54068.777999999998</v>
      </c>
      <c r="I61" s="24">
        <f t="shared" si="7"/>
        <v>54.068778000000002</v>
      </c>
      <c r="J61" s="24">
        <f t="shared" si="3"/>
        <v>63.316964999999982</v>
      </c>
      <c r="K61" s="11">
        <v>11993290.314999999</v>
      </c>
      <c r="L61" s="11"/>
      <c r="M61" s="11">
        <v>30636.804</v>
      </c>
      <c r="N61" s="13"/>
      <c r="O61" s="13">
        <f>108+125</f>
        <v>233</v>
      </c>
      <c r="P61" s="13">
        <f>242+124</f>
        <v>366</v>
      </c>
      <c r="Q61" s="13">
        <v>69</v>
      </c>
      <c r="R61" s="23">
        <v>2.31</v>
      </c>
      <c r="S61" s="13">
        <v>183</v>
      </c>
      <c r="T61" s="23">
        <v>21.5</v>
      </c>
      <c r="U61" s="15" t="s">
        <v>213</v>
      </c>
      <c r="V61" s="15" t="s">
        <v>214</v>
      </c>
      <c r="W61" s="24">
        <v>-3.67</v>
      </c>
      <c r="X61" s="24"/>
      <c r="Y61" s="24"/>
      <c r="Z61" s="24"/>
      <c r="AA61" s="16">
        <v>249200</v>
      </c>
      <c r="AB61" s="17"/>
      <c r="AC61" s="27">
        <f t="shared" si="8"/>
        <v>-2.3739656435528556E-3</v>
      </c>
      <c r="AD61" s="19">
        <v>34541</v>
      </c>
      <c r="AE61" s="20">
        <v>3.47</v>
      </c>
      <c r="AF61" s="16">
        <v>107510000</v>
      </c>
      <c r="AG61" s="20">
        <v>-0.2</v>
      </c>
      <c r="AH61" s="16">
        <v>10675000</v>
      </c>
      <c r="AI61" s="20">
        <v>-0.03</v>
      </c>
      <c r="AJ61" s="7">
        <f t="shared" si="4"/>
        <v>1246111.8999999999</v>
      </c>
      <c r="AK61" s="27">
        <f t="shared" si="4"/>
        <v>-8.6447799969801009E-3</v>
      </c>
    </row>
    <row r="62" spans="1:37" ht="22.5" x14ac:dyDescent="0.55000000000000004">
      <c r="A62" s="7" t="s">
        <v>215</v>
      </c>
      <c r="B62" s="25">
        <v>0.5229166666666667</v>
      </c>
      <c r="C62" s="7">
        <v>1243719.1000000001</v>
      </c>
      <c r="D62" s="27">
        <f t="shared" si="5"/>
        <v>-1.9202127834585525E-3</v>
      </c>
      <c r="E62" s="7">
        <v>382081</v>
      </c>
      <c r="F62" s="27">
        <f t="shared" si="6"/>
        <v>-2.008619563797831E-3</v>
      </c>
      <c r="G62" s="9">
        <v>49559740.006999999</v>
      </c>
      <c r="H62" s="9">
        <v>50409.084000000003</v>
      </c>
      <c r="I62" s="24">
        <f t="shared" si="7"/>
        <v>50.409084</v>
      </c>
      <c r="J62" s="24">
        <f t="shared" si="3"/>
        <v>61.870196555555545</v>
      </c>
      <c r="K62" s="11">
        <v>11997036.024</v>
      </c>
      <c r="L62" s="11"/>
      <c r="M62" s="11">
        <v>20035.344000000001</v>
      </c>
      <c r="N62" s="13"/>
      <c r="O62" s="13">
        <f>144+132</f>
        <v>276</v>
      </c>
      <c r="P62" s="13">
        <f>208+120</f>
        <v>328</v>
      </c>
      <c r="Q62" s="13">
        <v>71</v>
      </c>
      <c r="R62" s="23">
        <v>3.9</v>
      </c>
      <c r="S62" s="13">
        <v>131</v>
      </c>
      <c r="T62" s="23">
        <v>17.2</v>
      </c>
      <c r="U62" s="15" t="s">
        <v>216</v>
      </c>
      <c r="V62" s="15" t="s">
        <v>217</v>
      </c>
      <c r="W62" s="24">
        <v>-0.26</v>
      </c>
      <c r="X62" s="24"/>
      <c r="Y62" s="24"/>
      <c r="Z62" s="24"/>
      <c r="AA62" s="16">
        <v>250210</v>
      </c>
      <c r="AB62" s="17"/>
      <c r="AC62" s="27">
        <f t="shared" si="8"/>
        <v>4.0529695024076329E-3</v>
      </c>
      <c r="AD62" s="19">
        <v>35594</v>
      </c>
      <c r="AE62" s="20">
        <v>3.12</v>
      </c>
      <c r="AF62" s="16">
        <v>107730000</v>
      </c>
      <c r="AG62" s="20">
        <v>0.27</v>
      </c>
      <c r="AH62" s="16">
        <v>10703000</v>
      </c>
      <c r="AI62" s="20">
        <v>0.35</v>
      </c>
      <c r="AJ62" s="7">
        <f t="shared" si="4"/>
        <v>1243719.1000000001</v>
      </c>
      <c r="AK62" s="27">
        <f t="shared" si="4"/>
        <v>-1.9202127834585525E-3</v>
      </c>
    </row>
    <row r="63" spans="1:37" ht="22.5" x14ac:dyDescent="0.55000000000000004">
      <c r="A63" s="7" t="s">
        <v>218</v>
      </c>
      <c r="B63" s="25">
        <v>0.53888888888888886</v>
      </c>
      <c r="C63" s="7">
        <v>1254561.8</v>
      </c>
      <c r="D63" s="27">
        <f t="shared" si="5"/>
        <v>8.7179653347768671E-3</v>
      </c>
      <c r="E63" s="7">
        <v>386477.16</v>
      </c>
      <c r="F63" s="27">
        <f t="shared" si="6"/>
        <v>1.1505832532892279E-2</v>
      </c>
      <c r="G63" s="9">
        <v>49831248.700999998</v>
      </c>
      <c r="H63" s="9">
        <v>49875.726999999999</v>
      </c>
      <c r="I63" s="24">
        <f t="shared" si="7"/>
        <v>49.875726999999998</v>
      </c>
      <c r="J63" s="24">
        <f t="shared" si="3"/>
        <v>59.324166222222225</v>
      </c>
      <c r="K63" s="11">
        <v>12059688.289000001</v>
      </c>
      <c r="L63" s="11"/>
      <c r="M63" s="11">
        <v>146251.402</v>
      </c>
      <c r="N63" s="13"/>
      <c r="O63" s="13">
        <f>260+155</f>
        <v>415</v>
      </c>
      <c r="P63" s="13">
        <f>102+84</f>
        <v>186</v>
      </c>
      <c r="Q63" s="13">
        <v>124</v>
      </c>
      <c r="R63" s="23">
        <v>5.6</v>
      </c>
      <c r="S63" s="13">
        <v>113</v>
      </c>
      <c r="T63" s="23">
        <v>18.96</v>
      </c>
      <c r="U63" s="15" t="s">
        <v>219</v>
      </c>
      <c r="V63" s="15" t="s">
        <v>220</v>
      </c>
      <c r="W63" s="24">
        <v>1.51</v>
      </c>
      <c r="X63" s="24"/>
      <c r="Y63" s="24"/>
      <c r="Z63" s="24"/>
      <c r="AA63" s="16">
        <v>247556</v>
      </c>
      <c r="AB63" s="17"/>
      <c r="AC63" s="27">
        <f t="shared" si="8"/>
        <v>-1.0607090044362777E-2</v>
      </c>
      <c r="AD63" s="19">
        <v>34213</v>
      </c>
      <c r="AE63" s="20">
        <v>-3.61</v>
      </c>
      <c r="AF63" s="16">
        <v>106010000</v>
      </c>
      <c r="AG63" s="20">
        <v>-0.68</v>
      </c>
      <c r="AH63" s="16">
        <v>10576000</v>
      </c>
      <c r="AI63" s="20">
        <v>-0.2</v>
      </c>
      <c r="AJ63" s="7">
        <f t="shared" si="4"/>
        <v>1254561.8</v>
      </c>
      <c r="AK63" s="27">
        <f t="shared" si="4"/>
        <v>8.7179653347768671E-3</v>
      </c>
    </row>
    <row r="64" spans="1:37" ht="22.5" x14ac:dyDescent="0.55000000000000004">
      <c r="A64" s="7" t="s">
        <v>221</v>
      </c>
      <c r="B64" s="25">
        <v>0.55486111111111114</v>
      </c>
      <c r="C64" s="7">
        <v>1281187</v>
      </c>
      <c r="D64" s="27">
        <f t="shared" si="5"/>
        <v>2.1222708996878392E-2</v>
      </c>
      <c r="E64" s="7">
        <v>391623.6</v>
      </c>
      <c r="F64" s="27">
        <f t="shared" si="6"/>
        <v>1.3316284977875625E-2</v>
      </c>
      <c r="G64" s="9">
        <v>50862819.851000004</v>
      </c>
      <c r="H64" s="9">
        <v>60790.970999999998</v>
      </c>
      <c r="I64" s="24">
        <f t="shared" si="7"/>
        <v>60.790970999999999</v>
      </c>
      <c r="J64" s="24">
        <f t="shared" si="3"/>
        <v>58.545385222222222</v>
      </c>
      <c r="K64" s="11">
        <v>12145994.872</v>
      </c>
      <c r="L64" s="11"/>
      <c r="M64" s="11">
        <v>35965.262999999999</v>
      </c>
      <c r="N64" s="13"/>
      <c r="O64" s="13">
        <f>253+154</f>
        <v>407</v>
      </c>
      <c r="P64" s="13">
        <f>109+103</f>
        <v>212</v>
      </c>
      <c r="Q64" s="13">
        <v>144</v>
      </c>
      <c r="R64" s="23">
        <v>8.11</v>
      </c>
      <c r="S64" s="13">
        <v>105</v>
      </c>
      <c r="T64" s="23">
        <v>13.64</v>
      </c>
      <c r="U64" s="15" t="s">
        <v>222</v>
      </c>
      <c r="V64" s="15" t="s">
        <v>223</v>
      </c>
      <c r="W64" s="24">
        <v>4.1399999999999997</v>
      </c>
      <c r="X64" s="24"/>
      <c r="Y64" s="24"/>
      <c r="Z64" s="24"/>
      <c r="AA64" s="16">
        <v>246244</v>
      </c>
      <c r="AB64" s="17"/>
      <c r="AC64" s="27">
        <f t="shared" si="8"/>
        <v>-5.2998109518654912E-3</v>
      </c>
      <c r="AD64" s="19">
        <v>34873</v>
      </c>
      <c r="AE64" s="20">
        <v>1.8</v>
      </c>
      <c r="AF64" s="16">
        <v>107270000</v>
      </c>
      <c r="AG64" s="20">
        <v>1.19</v>
      </c>
      <c r="AH64" s="16">
        <v>10664000</v>
      </c>
      <c r="AI64" s="20">
        <v>0.83</v>
      </c>
      <c r="AJ64" s="7">
        <f t="shared" si="4"/>
        <v>1281187</v>
      </c>
      <c r="AK64" s="27">
        <f t="shared" si="4"/>
        <v>2.1222708996878392E-2</v>
      </c>
    </row>
    <row r="65" spans="1:37" ht="22.5" x14ac:dyDescent="0.55000000000000004">
      <c r="A65" s="7" t="s">
        <v>224</v>
      </c>
      <c r="B65" s="25">
        <v>0.5625</v>
      </c>
      <c r="C65" s="7">
        <v>1282019.04</v>
      </c>
      <c r="D65" s="27">
        <f t="shared" si="5"/>
        <v>6.4942900607012355E-4</v>
      </c>
      <c r="E65" s="7">
        <v>392584.43</v>
      </c>
      <c r="F65" s="27">
        <f t="shared" si="6"/>
        <v>2.4534527541242301E-3</v>
      </c>
      <c r="G65" s="9">
        <v>50382311.222000003</v>
      </c>
      <c r="H65" s="9">
        <v>54859.122000000003</v>
      </c>
      <c r="I65" s="24">
        <f t="shared" si="7"/>
        <v>54.859122000000006</v>
      </c>
      <c r="J65" s="24">
        <f t="shared" si="3"/>
        <v>57.567509888888885</v>
      </c>
      <c r="K65" s="11">
        <v>12163668.473999999</v>
      </c>
      <c r="L65" s="11"/>
      <c r="M65" s="11">
        <v>64210.923000000003</v>
      </c>
      <c r="N65" s="13"/>
      <c r="O65" s="13">
        <f>169+133</f>
        <v>302</v>
      </c>
      <c r="P65" s="13">
        <f>190+117</f>
        <v>307</v>
      </c>
      <c r="Q65" s="13">
        <v>100</v>
      </c>
      <c r="R65" s="23">
        <v>3.7</v>
      </c>
      <c r="S65" s="13">
        <v>109</v>
      </c>
      <c r="T65" s="23">
        <v>11.6</v>
      </c>
      <c r="U65" s="15" t="s">
        <v>225</v>
      </c>
      <c r="V65" s="15" t="s">
        <v>226</v>
      </c>
      <c r="W65" s="24">
        <v>-1.24</v>
      </c>
      <c r="X65" s="24"/>
      <c r="Y65" s="24"/>
      <c r="Z65" s="24"/>
      <c r="AA65" s="16">
        <v>244676</v>
      </c>
      <c r="AB65" s="17"/>
      <c r="AC65" s="27">
        <f t="shared" si="8"/>
        <v>-6.3676678416529908E-3</v>
      </c>
      <c r="AD65" s="19">
        <v>34814</v>
      </c>
      <c r="AE65" s="20">
        <v>-0.52</v>
      </c>
      <c r="AF65" s="16">
        <v>106420000</v>
      </c>
      <c r="AG65" s="20">
        <v>-0.62</v>
      </c>
      <c r="AH65" s="16">
        <v>10581000</v>
      </c>
      <c r="AI65" s="20">
        <v>-0.87</v>
      </c>
      <c r="AJ65" s="7">
        <f t="shared" si="4"/>
        <v>1282019.04</v>
      </c>
      <c r="AK65" s="27">
        <f t="shared" si="4"/>
        <v>6.4942900607012355E-4</v>
      </c>
    </row>
    <row r="66" spans="1:37" ht="22.5" x14ac:dyDescent="0.55000000000000004">
      <c r="A66" s="7" t="s">
        <v>227</v>
      </c>
      <c r="B66" s="25">
        <v>0.54791666666666672</v>
      </c>
      <c r="C66" s="7">
        <v>1270744.3</v>
      </c>
      <c r="D66" s="27">
        <f t="shared" si="5"/>
        <v>-8.7945183715836261E-3</v>
      </c>
      <c r="E66" s="7">
        <v>392489.38</v>
      </c>
      <c r="F66" s="27">
        <f t="shared" si="6"/>
        <v>-2.4211352447167656E-4</v>
      </c>
      <c r="G66" s="9">
        <v>49529307.228</v>
      </c>
      <c r="H66" s="9">
        <v>43993.396999999997</v>
      </c>
      <c r="I66" s="24">
        <f t="shared" si="7"/>
        <v>43.993396999999995</v>
      </c>
      <c r="J66" s="24">
        <f t="shared" si="3"/>
        <v>54.355665111111115</v>
      </c>
      <c r="K66" s="11">
        <v>12145038.898</v>
      </c>
      <c r="L66" s="11"/>
      <c r="M66" s="11">
        <v>104664.82399999999</v>
      </c>
      <c r="N66" s="13"/>
      <c r="O66" s="13">
        <f>178+132</f>
        <v>310</v>
      </c>
      <c r="P66" s="13">
        <f>187+126</f>
        <v>313</v>
      </c>
      <c r="Q66" s="13">
        <v>104</v>
      </c>
      <c r="R66" s="23">
        <v>2.54</v>
      </c>
      <c r="S66" s="13">
        <v>120</v>
      </c>
      <c r="T66" s="23">
        <v>12.5</v>
      </c>
      <c r="U66" s="15" t="s">
        <v>228</v>
      </c>
      <c r="V66" s="15" t="s">
        <v>229</v>
      </c>
      <c r="W66" s="24">
        <v>-1.63</v>
      </c>
      <c r="X66" s="24"/>
      <c r="Y66" s="24"/>
      <c r="Z66" s="24"/>
      <c r="AA66" s="16">
        <v>245028</v>
      </c>
      <c r="AB66" s="17"/>
      <c r="AC66" s="27">
        <f t="shared" si="8"/>
        <v>1.4386372181987017E-3</v>
      </c>
      <c r="AD66" s="19">
        <v>33792</v>
      </c>
      <c r="AE66" s="20">
        <v>3.04</v>
      </c>
      <c r="AF66" s="16">
        <v>106590000</v>
      </c>
      <c r="AG66" s="20">
        <v>-0.64</v>
      </c>
      <c r="AH66" s="16">
        <v>10627000</v>
      </c>
      <c r="AI66" s="20">
        <v>-0.13</v>
      </c>
      <c r="AJ66" s="7">
        <f t="shared" si="4"/>
        <v>1270744.3</v>
      </c>
      <c r="AK66" s="27">
        <f t="shared" si="4"/>
        <v>-8.7945183715836261E-3</v>
      </c>
    </row>
    <row r="67" spans="1:37" ht="22.5" x14ac:dyDescent="0.55000000000000004">
      <c r="A67" s="7" t="s">
        <v>230</v>
      </c>
      <c r="B67" s="25">
        <v>0.53749999999999998</v>
      </c>
      <c r="C67" s="7">
        <v>1285285.1599999999</v>
      </c>
      <c r="D67" s="27">
        <f t="shared" si="5"/>
        <v>1.1442789867324166E-2</v>
      </c>
      <c r="E67" s="7">
        <v>397606.37</v>
      </c>
      <c r="F67" s="27">
        <f t="shared" si="6"/>
        <v>1.3037269951100328E-2</v>
      </c>
      <c r="G67" s="9">
        <v>50552432.827</v>
      </c>
      <c r="H67" s="9">
        <v>53919.540999999997</v>
      </c>
      <c r="I67" s="24">
        <f t="shared" si="7"/>
        <v>53.919540999999995</v>
      </c>
      <c r="J67" s="24">
        <f t="shared" si="3"/>
        <v>53.413391888888896</v>
      </c>
      <c r="K67" s="11">
        <v>10320925.014</v>
      </c>
      <c r="L67" s="11"/>
      <c r="M67" s="11">
        <v>126429.173</v>
      </c>
      <c r="N67" s="13"/>
      <c r="O67" s="13">
        <f>270+146</f>
        <v>416</v>
      </c>
      <c r="P67" s="13">
        <f>100+110</f>
        <v>210</v>
      </c>
      <c r="Q67" s="13">
        <v>136</v>
      </c>
      <c r="R67" s="23">
        <v>5.1100000000000003</v>
      </c>
      <c r="S67" s="13">
        <v>91</v>
      </c>
      <c r="T67" s="23">
        <v>13.85</v>
      </c>
      <c r="U67" s="15" t="s">
        <v>231</v>
      </c>
      <c r="V67" s="15" t="s">
        <v>232</v>
      </c>
      <c r="W67" s="24">
        <v>1.3</v>
      </c>
      <c r="X67" s="24"/>
      <c r="Y67" s="24"/>
      <c r="Z67" s="24"/>
      <c r="AA67" s="16">
        <v>245900</v>
      </c>
      <c r="AB67" s="17"/>
      <c r="AC67" s="27">
        <f t="shared" si="8"/>
        <v>3.5587769561029603E-3</v>
      </c>
      <c r="AD67" s="19">
        <v>33552</v>
      </c>
      <c r="AE67" s="20">
        <v>-0.82</v>
      </c>
      <c r="AF67" s="16">
        <v>106530000</v>
      </c>
      <c r="AG67" s="20">
        <v>-0.03</v>
      </c>
      <c r="AH67" s="16">
        <v>10613000</v>
      </c>
      <c r="AI67" s="20">
        <v>-0.2</v>
      </c>
      <c r="AJ67" s="7">
        <f t="shared" si="4"/>
        <v>1285285.1599999999</v>
      </c>
      <c r="AK67" s="27">
        <f t="shared" si="4"/>
        <v>1.1442789867324166E-2</v>
      </c>
    </row>
    <row r="68" spans="1:37" ht="22.5" x14ac:dyDescent="0.55000000000000004">
      <c r="A68" s="7" t="s">
        <v>233</v>
      </c>
      <c r="B68" s="25">
        <v>0.55069444444444449</v>
      </c>
      <c r="C68" s="7">
        <v>1304331.6100000001</v>
      </c>
      <c r="D68" s="27">
        <f t="shared" si="5"/>
        <v>1.481885156131435E-2</v>
      </c>
      <c r="E68" s="7">
        <v>400649.79</v>
      </c>
      <c r="F68" s="27">
        <f t="shared" si="6"/>
        <v>7.6543542297875522E-3</v>
      </c>
      <c r="G68" s="9">
        <v>51459719.818999998</v>
      </c>
      <c r="H68" s="9">
        <v>58796.285000000003</v>
      </c>
      <c r="I68" s="24">
        <f t="shared" si="7"/>
        <v>58.796285000000005</v>
      </c>
      <c r="J68" s="24">
        <f t="shared" si="3"/>
        <v>53.906784555555561</v>
      </c>
      <c r="K68" s="11">
        <v>10455121.986</v>
      </c>
      <c r="L68" s="11"/>
      <c r="M68" s="11">
        <v>276236.69799999997</v>
      </c>
      <c r="N68" s="13"/>
      <c r="O68" s="13">
        <f>186+137</f>
        <v>323</v>
      </c>
      <c r="P68" s="13">
        <f>181+125</f>
        <v>306</v>
      </c>
      <c r="Q68" s="13">
        <v>84</v>
      </c>
      <c r="R68" s="23">
        <v>3.72</v>
      </c>
      <c r="S68" s="13">
        <v>106</v>
      </c>
      <c r="T68" s="23">
        <v>11.78</v>
      </c>
      <c r="U68" s="15" t="s">
        <v>234</v>
      </c>
      <c r="V68" s="15" t="s">
        <v>235</v>
      </c>
      <c r="W68" s="24">
        <v>0.46</v>
      </c>
      <c r="X68" s="24"/>
      <c r="Y68" s="24"/>
      <c r="Z68" s="24"/>
      <c r="AA68" s="16">
        <v>246324</v>
      </c>
      <c r="AB68" s="17"/>
      <c r="AC68" s="27">
        <f t="shared" si="8"/>
        <v>1.7242781618544978E-3</v>
      </c>
      <c r="AD68" s="19">
        <v>34366</v>
      </c>
      <c r="AE68" s="20">
        <v>1.96</v>
      </c>
      <c r="AF68" s="16">
        <v>106690000</v>
      </c>
      <c r="AG68" s="20">
        <v>-0.18</v>
      </c>
      <c r="AH68" s="16">
        <v>10622000</v>
      </c>
      <c r="AI68" s="20">
        <v>-0.24</v>
      </c>
      <c r="AJ68" s="7">
        <f t="shared" ref="AJ68:AK83" si="9">C68</f>
        <v>1304331.6100000001</v>
      </c>
      <c r="AK68" s="27">
        <f t="shared" si="9"/>
        <v>1.481885156131435E-2</v>
      </c>
    </row>
    <row r="69" spans="1:37" ht="22.5" x14ac:dyDescent="0.55000000000000004">
      <c r="A69" s="7" t="s">
        <v>236</v>
      </c>
      <c r="B69" s="25">
        <v>0.54513888888888895</v>
      </c>
      <c r="C69" s="7">
        <v>1303890.1000000001</v>
      </c>
      <c r="D69" s="27">
        <f t="shared" si="5"/>
        <v>-3.3849520828521662E-4</v>
      </c>
      <c r="E69" s="7">
        <v>400337.07</v>
      </c>
      <c r="F69" s="27">
        <f t="shared" si="6"/>
        <v>-7.8053204520578401E-4</v>
      </c>
      <c r="G69" s="9">
        <v>51302461.122000001</v>
      </c>
      <c r="H69" s="9">
        <v>67353.516000000003</v>
      </c>
      <c r="I69" s="24">
        <f t="shared" si="7"/>
        <v>67.353515999999999</v>
      </c>
      <c r="J69" s="24">
        <f t="shared" si="3"/>
        <v>54.896269000000004</v>
      </c>
      <c r="K69" s="11">
        <v>10490515.268999999</v>
      </c>
      <c r="L69" s="11"/>
      <c r="M69" s="11">
        <v>108393.23299999999</v>
      </c>
      <c r="N69" s="13"/>
      <c r="O69" s="13">
        <f>160+135</f>
        <v>295</v>
      </c>
      <c r="P69" s="13">
        <f>222+124</f>
        <v>346</v>
      </c>
      <c r="Q69" s="13">
        <v>93</v>
      </c>
      <c r="R69" s="23">
        <v>3.2</v>
      </c>
      <c r="S69" s="13">
        <v>106</v>
      </c>
      <c r="T69" s="23">
        <v>13.03</v>
      </c>
      <c r="U69" s="15" t="s">
        <v>237</v>
      </c>
      <c r="V69" s="15" t="s">
        <v>238</v>
      </c>
      <c r="W69" s="24">
        <v>-0.68</v>
      </c>
      <c r="X69" s="24"/>
      <c r="Y69" s="24"/>
      <c r="Z69" s="24"/>
      <c r="AA69" s="16">
        <v>244720</v>
      </c>
      <c r="AB69" s="17"/>
      <c r="AC69" s="27">
        <f t="shared" si="8"/>
        <v>-6.511748753673996E-3</v>
      </c>
      <c r="AD69" s="19">
        <v>33195</v>
      </c>
      <c r="AE69" s="20">
        <v>-3.21</v>
      </c>
      <c r="AF69" s="16">
        <v>105980000</v>
      </c>
      <c r="AG69" s="20">
        <v>-0.71</v>
      </c>
      <c r="AH69" s="16">
        <v>10521000</v>
      </c>
      <c r="AI69" s="20">
        <v>-0.87</v>
      </c>
      <c r="AJ69" s="7">
        <f t="shared" si="9"/>
        <v>1303890.1000000001</v>
      </c>
      <c r="AK69" s="27">
        <f t="shared" si="9"/>
        <v>-3.3849520828521662E-4</v>
      </c>
    </row>
    <row r="70" spans="1:37" ht="22.5" x14ac:dyDescent="0.55000000000000004">
      <c r="A70" s="7" t="s">
        <v>239</v>
      </c>
      <c r="B70" s="25">
        <v>0.54791666666666672</v>
      </c>
      <c r="C70" s="7">
        <v>1305495.5</v>
      </c>
      <c r="D70" s="27">
        <f t="shared" si="5"/>
        <v>1.2312387370683187E-3</v>
      </c>
      <c r="E70" s="7">
        <v>401611</v>
      </c>
      <c r="F70" s="27">
        <f t="shared" si="6"/>
        <v>3.1821434872367771E-3</v>
      </c>
      <c r="G70" s="9">
        <v>53213814.376000002</v>
      </c>
      <c r="H70" s="9">
        <v>59991.286</v>
      </c>
      <c r="I70" s="24">
        <f t="shared" si="7"/>
        <v>59.991286000000002</v>
      </c>
      <c r="J70" s="24">
        <f t="shared" si="3"/>
        <v>55.554325444444451</v>
      </c>
      <c r="K70" s="11">
        <v>10513554.093</v>
      </c>
      <c r="L70" s="11"/>
      <c r="M70" s="11">
        <v>89700.69</v>
      </c>
      <c r="N70" s="13"/>
      <c r="O70" s="13">
        <f>199+153</f>
        <v>352</v>
      </c>
      <c r="P70" s="13">
        <f>166+100</f>
        <v>266</v>
      </c>
      <c r="Q70" s="13">
        <v>99</v>
      </c>
      <c r="R70" s="23">
        <v>5.22</v>
      </c>
      <c r="S70" s="13">
        <v>80</v>
      </c>
      <c r="T70" s="23">
        <v>9.1</v>
      </c>
      <c r="U70" s="15" t="s">
        <v>240</v>
      </c>
      <c r="V70" s="15" t="s">
        <v>241</v>
      </c>
      <c r="W70" s="24">
        <v>0.09</v>
      </c>
      <c r="X70" s="24"/>
      <c r="Y70" s="24"/>
      <c r="Z70" s="24"/>
      <c r="AA70" s="16">
        <v>242600</v>
      </c>
      <c r="AB70" s="17"/>
      <c r="AC70" s="27">
        <f t="shared" si="8"/>
        <v>-8.6629617522065994E-3</v>
      </c>
      <c r="AD70" s="19">
        <v>31965</v>
      </c>
      <c r="AE70" s="20">
        <v>-3.81</v>
      </c>
      <c r="AF70" s="16">
        <v>104930000</v>
      </c>
      <c r="AG70" s="20">
        <v>-1</v>
      </c>
      <c r="AH70" s="16">
        <v>10479000</v>
      </c>
      <c r="AI70" s="20">
        <v>-0.56999999999999995</v>
      </c>
      <c r="AJ70" s="7">
        <f t="shared" si="9"/>
        <v>1305495.5</v>
      </c>
      <c r="AK70" s="27">
        <f t="shared" si="9"/>
        <v>1.2312387370683187E-3</v>
      </c>
    </row>
    <row r="71" spans="1:37" ht="22.5" x14ac:dyDescent="0.55000000000000004">
      <c r="A71" s="7" t="s">
        <v>242</v>
      </c>
      <c r="B71" s="25">
        <v>0.54166666666666663</v>
      </c>
      <c r="C71" s="7">
        <v>1311241</v>
      </c>
      <c r="D71" s="27">
        <f t="shared" si="5"/>
        <v>4.4010109571424039E-3</v>
      </c>
      <c r="E71" s="7">
        <v>402587</v>
      </c>
      <c r="F71" s="27">
        <f t="shared" si="6"/>
        <v>2.4302123198816084E-3</v>
      </c>
      <c r="G71" s="9">
        <v>53466430.228</v>
      </c>
      <c r="H71" s="9">
        <v>62141.154999999999</v>
      </c>
      <c r="I71" s="24">
        <f t="shared" si="7"/>
        <v>62.141154999999998</v>
      </c>
      <c r="J71" s="24">
        <f t="shared" si="3"/>
        <v>56.857888888888887</v>
      </c>
      <c r="K71" s="11">
        <v>10511927.469000001</v>
      </c>
      <c r="L71" s="11"/>
      <c r="M71" s="11">
        <v>118848.94899999999</v>
      </c>
      <c r="N71" s="13"/>
      <c r="O71" s="13">
        <f>143+119</f>
        <v>262</v>
      </c>
      <c r="P71" s="13">
        <f>216+137</f>
        <v>353</v>
      </c>
      <c r="Q71" s="13">
        <v>85</v>
      </c>
      <c r="R71" s="23">
        <v>5.1100000000000003</v>
      </c>
      <c r="S71" s="13">
        <v>109</v>
      </c>
      <c r="T71" s="23">
        <v>8.8800000000000008</v>
      </c>
      <c r="U71" s="15" t="s">
        <v>243</v>
      </c>
      <c r="V71" s="15" t="s">
        <v>244</v>
      </c>
      <c r="W71" s="24">
        <v>1.07</v>
      </c>
      <c r="X71" s="24"/>
      <c r="Y71" s="24"/>
      <c r="Z71" s="24"/>
      <c r="AA71" s="16">
        <v>242600</v>
      </c>
      <c r="AB71" s="17"/>
      <c r="AC71" s="27">
        <f t="shared" si="8"/>
        <v>0</v>
      </c>
      <c r="AD71" s="19">
        <v>31445</v>
      </c>
      <c r="AE71" s="20">
        <v>-0.54</v>
      </c>
      <c r="AF71" s="16">
        <v>105380000</v>
      </c>
      <c r="AG71" s="20">
        <v>-0.65</v>
      </c>
      <c r="AH71" s="16">
        <v>10544000</v>
      </c>
      <c r="AI71" s="20">
        <v>-0.44</v>
      </c>
      <c r="AJ71" s="7">
        <f t="shared" si="9"/>
        <v>1311241</v>
      </c>
      <c r="AK71" s="27">
        <f t="shared" si="9"/>
        <v>4.4010109571424039E-3</v>
      </c>
    </row>
    <row r="72" spans="1:37" ht="22.5" x14ac:dyDescent="0.55000000000000004">
      <c r="A72" s="7" t="s">
        <v>245</v>
      </c>
      <c r="B72" s="25">
        <v>0.52777777777777779</v>
      </c>
      <c r="C72" s="7">
        <v>1302857.2</v>
      </c>
      <c r="D72" s="27">
        <f t="shared" si="5"/>
        <v>-6.3937903100955706E-3</v>
      </c>
      <c r="E72" s="7">
        <v>400327</v>
      </c>
      <c r="F72" s="27">
        <f t="shared" si="6"/>
        <v>-5.6136934376916914E-3</v>
      </c>
      <c r="G72" s="9">
        <v>53067974.332999997</v>
      </c>
      <c r="H72" s="9">
        <v>62078.345000000001</v>
      </c>
      <c r="I72" s="24">
        <f t="shared" si="7"/>
        <v>62.078344999999999</v>
      </c>
      <c r="J72" s="24">
        <f t="shared" si="3"/>
        <v>58.213735333333339</v>
      </c>
      <c r="K72" s="11">
        <v>10426856.591</v>
      </c>
      <c r="L72" s="11"/>
      <c r="M72" s="11">
        <v>95250.486000000004</v>
      </c>
      <c r="N72" s="13"/>
      <c r="O72" s="13">
        <f>124+112</f>
        <v>236</v>
      </c>
      <c r="P72" s="13">
        <f>233+126</f>
        <v>359</v>
      </c>
      <c r="Q72" s="13">
        <v>82</v>
      </c>
      <c r="R72" s="23">
        <v>3.26</v>
      </c>
      <c r="S72" s="13">
        <v>120</v>
      </c>
      <c r="T72" s="23">
        <v>7.95</v>
      </c>
      <c r="U72" s="15" t="s">
        <v>246</v>
      </c>
      <c r="V72" s="15" t="s">
        <v>247</v>
      </c>
      <c r="W72" s="24">
        <v>-2.75</v>
      </c>
      <c r="X72" s="24"/>
      <c r="Y72" s="24"/>
      <c r="Z72" s="24"/>
      <c r="AA72" s="16">
        <v>241061</v>
      </c>
      <c r="AB72" s="17"/>
      <c r="AC72" s="27">
        <f t="shared" si="8"/>
        <v>-6.343775762572168E-3</v>
      </c>
      <c r="AD72" s="19">
        <v>31706</v>
      </c>
      <c r="AE72" s="20">
        <v>0.91</v>
      </c>
      <c r="AF72" s="16">
        <v>105070000</v>
      </c>
      <c r="AG72" s="20">
        <v>-0.14000000000000001</v>
      </c>
      <c r="AH72" s="16">
        <v>10518000</v>
      </c>
      <c r="AI72" s="20">
        <v>-0.05</v>
      </c>
      <c r="AJ72" s="7">
        <f t="shared" si="9"/>
        <v>1302857.2</v>
      </c>
      <c r="AK72" s="27">
        <f t="shared" si="9"/>
        <v>-6.3937903100955706E-3</v>
      </c>
    </row>
    <row r="73" spans="1:37" ht="22.5" x14ac:dyDescent="0.55000000000000004">
      <c r="A73" s="7" t="s">
        <v>248</v>
      </c>
      <c r="B73" s="25">
        <v>0.53819444444444442</v>
      </c>
      <c r="C73" s="7">
        <v>1311276.27</v>
      </c>
      <c r="D73" s="27">
        <f t="shared" si="5"/>
        <v>6.4620051990349481E-3</v>
      </c>
      <c r="E73" s="7">
        <v>403068.55</v>
      </c>
      <c r="F73" s="27">
        <f t="shared" si="6"/>
        <v>6.848276533933495E-3</v>
      </c>
      <c r="G73" s="9">
        <v>53408885.590999998</v>
      </c>
      <c r="H73" s="9">
        <v>47220.538</v>
      </c>
      <c r="I73" s="24">
        <f t="shared" si="7"/>
        <v>47.220537999999998</v>
      </c>
      <c r="J73" s="24">
        <f t="shared" si="3"/>
        <v>56.705909444444444</v>
      </c>
      <c r="K73" s="11">
        <v>10532222.051999999</v>
      </c>
      <c r="L73" s="11"/>
      <c r="M73" s="11">
        <v>168443.50399999999</v>
      </c>
      <c r="N73" s="13"/>
      <c r="O73" s="13">
        <f>210+175</f>
        <v>385</v>
      </c>
      <c r="P73" s="13">
        <f>131+63</f>
        <v>194</v>
      </c>
      <c r="Q73" s="13">
        <v>96</v>
      </c>
      <c r="R73" s="23">
        <v>4.03</v>
      </c>
      <c r="S73" s="13">
        <v>67</v>
      </c>
      <c r="T73" s="23">
        <v>7.17</v>
      </c>
      <c r="U73" s="15" t="s">
        <v>249</v>
      </c>
      <c r="V73" s="15" t="s">
        <v>250</v>
      </c>
      <c r="W73" s="24">
        <v>0.67</v>
      </c>
      <c r="X73" s="24"/>
      <c r="Y73" s="24"/>
      <c r="Z73" s="24"/>
      <c r="AA73" s="16">
        <v>240590</v>
      </c>
      <c r="AB73" s="17"/>
      <c r="AC73" s="27">
        <f t="shared" si="8"/>
        <v>-1.9538623004136113E-3</v>
      </c>
      <c r="AD73" s="19">
        <v>31631</v>
      </c>
      <c r="AE73" s="20">
        <v>-0.46</v>
      </c>
      <c r="AF73" s="16">
        <v>104920000</v>
      </c>
      <c r="AG73" s="20">
        <v>-0.16</v>
      </c>
      <c r="AH73" s="16">
        <v>10470000</v>
      </c>
      <c r="AI73" s="20">
        <v>-0.35</v>
      </c>
      <c r="AJ73" s="7">
        <f t="shared" si="9"/>
        <v>1311276.27</v>
      </c>
      <c r="AK73" s="27">
        <f t="shared" si="9"/>
        <v>6.4620051990349481E-3</v>
      </c>
    </row>
    <row r="74" spans="1:37" ht="22.5" x14ac:dyDescent="0.55000000000000004">
      <c r="A74" s="7" t="s">
        <v>251</v>
      </c>
      <c r="B74" s="25">
        <v>0.53472222222222221</v>
      </c>
      <c r="C74" s="7">
        <v>1323419.69</v>
      </c>
      <c r="D74" s="27">
        <f t="shared" si="5"/>
        <v>9.2607639425976718E-3</v>
      </c>
      <c r="E74" s="7">
        <v>404077.31</v>
      </c>
      <c r="F74" s="27">
        <f t="shared" si="6"/>
        <v>2.5027008433180509E-3</v>
      </c>
      <c r="G74" s="9">
        <v>53767967</v>
      </c>
      <c r="H74" s="9">
        <v>55578</v>
      </c>
      <c r="I74" s="24">
        <f t="shared" si="7"/>
        <v>55.578000000000003</v>
      </c>
      <c r="J74" s="24">
        <f t="shared" si="3"/>
        <v>56.785784777777785</v>
      </c>
      <c r="K74" s="11">
        <v>10652722.199999999</v>
      </c>
      <c r="L74" s="11"/>
      <c r="M74" s="11">
        <v>147279.70000000001</v>
      </c>
      <c r="N74" s="13"/>
      <c r="O74" s="13">
        <f>146+141</f>
        <v>287</v>
      </c>
      <c r="P74" s="13">
        <f>186+97</f>
        <v>283</v>
      </c>
      <c r="Q74" s="13">
        <v>79</v>
      </c>
      <c r="R74" s="23">
        <v>6.09</v>
      </c>
      <c r="S74" s="13">
        <v>97</v>
      </c>
      <c r="T74" s="23">
        <v>7.85</v>
      </c>
      <c r="U74" s="15" t="s">
        <v>252</v>
      </c>
      <c r="V74" s="15" t="s">
        <v>253</v>
      </c>
      <c r="W74" s="24">
        <v>2.46</v>
      </c>
      <c r="X74" s="24"/>
      <c r="Y74" s="24"/>
      <c r="Z74" s="24"/>
      <c r="AA74" s="16">
        <v>243600</v>
      </c>
      <c r="AB74" s="17"/>
      <c r="AC74" s="27">
        <f t="shared" si="8"/>
        <v>1.2510910677916875E-2</v>
      </c>
      <c r="AD74" s="19">
        <v>37936</v>
      </c>
      <c r="AE74" s="20">
        <v>9.89</v>
      </c>
      <c r="AF74" s="16">
        <v>107970000</v>
      </c>
      <c r="AG74" s="20">
        <v>0.85</v>
      </c>
      <c r="AH74" s="16">
        <v>10701000</v>
      </c>
      <c r="AI74" s="20">
        <v>0.9</v>
      </c>
      <c r="AJ74" s="7">
        <f t="shared" si="9"/>
        <v>1323419.69</v>
      </c>
      <c r="AK74" s="27">
        <f t="shared" si="9"/>
        <v>9.2607639425976718E-3</v>
      </c>
    </row>
    <row r="75" spans="1:37" ht="22.5" x14ac:dyDescent="0.55000000000000004">
      <c r="A75" s="7" t="s">
        <v>254</v>
      </c>
      <c r="B75" s="25">
        <v>0.52777777777777779</v>
      </c>
      <c r="C75" s="7">
        <v>1314929.73</v>
      </c>
      <c r="D75" s="27">
        <f t="shared" si="5"/>
        <v>-6.4151682675961386E-3</v>
      </c>
      <c r="E75" s="7">
        <v>397903</v>
      </c>
      <c r="F75" s="27">
        <f t="shared" si="6"/>
        <v>-1.5280021538452648E-2</v>
      </c>
      <c r="G75" s="9">
        <v>53074460.359999999</v>
      </c>
      <c r="H75" s="9">
        <v>55149.334999999999</v>
      </c>
      <c r="I75" s="24">
        <f t="shared" si="7"/>
        <v>55.149335000000001</v>
      </c>
      <c r="J75" s="24">
        <f t="shared" si="3"/>
        <v>58.025333444444442</v>
      </c>
      <c r="K75" s="11">
        <v>10602068.301000001</v>
      </c>
      <c r="L75" s="11"/>
      <c r="M75" s="11">
        <v>84866.18</v>
      </c>
      <c r="N75" s="13"/>
      <c r="O75" s="13">
        <f>77+87</f>
        <v>164</v>
      </c>
      <c r="P75" s="13">
        <f>156+289</f>
        <v>445</v>
      </c>
      <c r="Q75" s="13">
        <v>32</v>
      </c>
      <c r="R75" s="23">
        <v>6.05</v>
      </c>
      <c r="S75" s="13">
        <v>204</v>
      </c>
      <c r="T75" s="23">
        <v>9.8000000000000007</v>
      </c>
      <c r="U75" s="15" t="s">
        <v>255</v>
      </c>
      <c r="V75" s="15" t="s">
        <v>256</v>
      </c>
      <c r="W75" s="24">
        <v>-1.62</v>
      </c>
      <c r="X75" s="24"/>
      <c r="Y75" s="24"/>
      <c r="Z75" s="24"/>
      <c r="AA75" s="16">
        <v>245620</v>
      </c>
      <c r="AB75" s="17"/>
      <c r="AC75" s="27">
        <f t="shared" si="8"/>
        <v>8.2922824302134046E-3</v>
      </c>
      <c r="AD75" s="19">
        <v>37104</v>
      </c>
      <c r="AE75" s="20">
        <v>-2.73</v>
      </c>
      <c r="AF75" s="16">
        <v>109780000</v>
      </c>
      <c r="AG75" s="20">
        <v>0.79</v>
      </c>
      <c r="AH75" s="16">
        <v>10807000</v>
      </c>
      <c r="AI75" s="20">
        <v>0.54</v>
      </c>
      <c r="AJ75" s="7">
        <f t="shared" si="9"/>
        <v>1314929.73</v>
      </c>
      <c r="AK75" s="27">
        <f t="shared" si="9"/>
        <v>-6.4151682675961386E-3</v>
      </c>
    </row>
    <row r="76" spans="1:37" ht="22.5" x14ac:dyDescent="0.55000000000000004">
      <c r="A76" s="7" t="s">
        <v>257</v>
      </c>
      <c r="B76" s="25">
        <v>0.52777777777777779</v>
      </c>
      <c r="C76" s="7">
        <v>1316511.8</v>
      </c>
      <c r="D76" s="27">
        <f t="shared" si="5"/>
        <v>1.2031593505761329E-3</v>
      </c>
      <c r="E76" s="7">
        <v>396744.46</v>
      </c>
      <c r="F76" s="27">
        <f t="shared" si="6"/>
        <v>-2.9116141371137161E-3</v>
      </c>
      <c r="G76" s="9">
        <v>53039296.600000001</v>
      </c>
      <c r="H76" s="9">
        <v>55220.959999999999</v>
      </c>
      <c r="I76" s="24">
        <f t="shared" si="7"/>
        <v>55.220959999999998</v>
      </c>
      <c r="J76" s="24">
        <f t="shared" ref="J76:J139" si="10">AVERAGE(I68:I76)</f>
        <v>58.169935555555561</v>
      </c>
      <c r="K76" s="11">
        <v>10684851.779999999</v>
      </c>
      <c r="L76" s="11"/>
      <c r="M76" s="11">
        <v>39602.275000000001</v>
      </c>
      <c r="N76" s="13"/>
      <c r="O76" s="13">
        <f>150+128</f>
        <v>278</v>
      </c>
      <c r="P76" s="13">
        <f>222+122</f>
        <v>344</v>
      </c>
      <c r="Q76" s="13">
        <v>77</v>
      </c>
      <c r="R76" s="23">
        <v>5.93</v>
      </c>
      <c r="S76" s="13">
        <v>122</v>
      </c>
      <c r="T76" s="23">
        <v>9.65</v>
      </c>
      <c r="U76" s="15" t="s">
        <v>258</v>
      </c>
      <c r="V76" s="15" t="s">
        <v>259</v>
      </c>
      <c r="W76" s="20">
        <f>4.6/100</f>
        <v>4.5999999999999999E-2</v>
      </c>
      <c r="X76" s="20"/>
      <c r="Y76" s="20"/>
      <c r="Z76" s="20"/>
      <c r="AA76" s="16">
        <v>244158</v>
      </c>
      <c r="AB76" s="17"/>
      <c r="AC76" s="27">
        <f t="shared" si="8"/>
        <v>-5.9522840159595969E-3</v>
      </c>
      <c r="AD76" s="19">
        <v>39812</v>
      </c>
      <c r="AE76" s="20">
        <v>6.28</v>
      </c>
      <c r="AF76" s="16">
        <v>111470000</v>
      </c>
      <c r="AG76" s="20">
        <v>1.84</v>
      </c>
      <c r="AH76" s="16">
        <v>10915000</v>
      </c>
      <c r="AI76" s="20">
        <v>1.3</v>
      </c>
      <c r="AJ76" s="7">
        <f t="shared" si="9"/>
        <v>1316511.8</v>
      </c>
      <c r="AK76" s="27">
        <f t="shared" si="9"/>
        <v>1.2031593505761329E-3</v>
      </c>
    </row>
    <row r="77" spans="1:37" ht="22.5" x14ac:dyDescent="0.55000000000000004">
      <c r="A77" s="7" t="s">
        <v>260</v>
      </c>
      <c r="B77" s="25">
        <v>0.52777777777777779</v>
      </c>
      <c r="C77" s="7">
        <v>1351466.94</v>
      </c>
      <c r="D77" s="27">
        <f t="shared" si="5"/>
        <v>2.6551330569160037E-2</v>
      </c>
      <c r="E77" s="7">
        <v>400924.89</v>
      </c>
      <c r="F77" s="27">
        <f t="shared" si="6"/>
        <v>1.0536832700827059E-2</v>
      </c>
      <c r="G77" s="9">
        <v>54443561.840000004</v>
      </c>
      <c r="H77" s="9">
        <v>57856.65</v>
      </c>
      <c r="I77" s="24">
        <f t="shared" si="7"/>
        <v>57.856650000000002</v>
      </c>
      <c r="J77" s="24">
        <f t="shared" si="10"/>
        <v>58.065531666666665</v>
      </c>
      <c r="K77" s="11">
        <v>10910070.880000001</v>
      </c>
      <c r="L77" s="11"/>
      <c r="M77" s="11">
        <v>24164.04</v>
      </c>
      <c r="N77" s="13"/>
      <c r="O77" s="13">
        <f>217+168</f>
        <v>385</v>
      </c>
      <c r="P77" s="13">
        <f>151+76</f>
        <v>227</v>
      </c>
      <c r="Q77" s="13">
        <v>129</v>
      </c>
      <c r="R77" s="23">
        <v>8.4</v>
      </c>
      <c r="S77" s="13">
        <v>88</v>
      </c>
      <c r="T77" s="23">
        <v>8.9700000000000006</v>
      </c>
      <c r="U77" s="15" t="s">
        <v>261</v>
      </c>
      <c r="V77" s="15" t="s">
        <v>262</v>
      </c>
      <c r="W77" s="24">
        <v>3.11</v>
      </c>
      <c r="X77" s="24"/>
      <c r="Y77" s="24"/>
      <c r="Z77" s="24"/>
      <c r="AA77" s="16">
        <v>249033</v>
      </c>
      <c r="AB77" s="17"/>
      <c r="AC77" s="27">
        <f t="shared" si="8"/>
        <v>1.9966579018504405E-2</v>
      </c>
      <c r="AD77" s="19">
        <v>41666</v>
      </c>
      <c r="AE77" s="20">
        <v>7.62</v>
      </c>
      <c r="AF77" s="16">
        <v>115420000</v>
      </c>
      <c r="AG77" s="20">
        <v>3.44</v>
      </c>
      <c r="AH77" s="16">
        <v>11215000</v>
      </c>
      <c r="AI77" s="20">
        <v>2.35</v>
      </c>
      <c r="AJ77" s="7">
        <f t="shared" si="9"/>
        <v>1351466.94</v>
      </c>
      <c r="AK77" s="27">
        <f t="shared" si="9"/>
        <v>2.6551330569160037E-2</v>
      </c>
    </row>
    <row r="78" spans="1:37" ht="22.5" x14ac:dyDescent="0.55000000000000004">
      <c r="A78" s="7" t="s">
        <v>263</v>
      </c>
      <c r="B78" s="25">
        <v>0.52777777777777779</v>
      </c>
      <c r="C78" s="7">
        <v>1360246.6</v>
      </c>
      <c r="D78" s="27">
        <f t="shared" si="5"/>
        <v>6.4963927271504129E-3</v>
      </c>
      <c r="E78" s="7">
        <v>402046</v>
      </c>
      <c r="F78" s="27">
        <f t="shared" si="6"/>
        <v>2.7963093037202125E-3</v>
      </c>
      <c r="G78" s="9">
        <v>54795875.986000001</v>
      </c>
      <c r="H78" s="9">
        <v>55223.712</v>
      </c>
      <c r="I78" s="24">
        <f t="shared" si="7"/>
        <v>55.223711999999999</v>
      </c>
      <c r="J78" s="24">
        <f t="shared" si="10"/>
        <v>56.717775666666661</v>
      </c>
      <c r="K78" s="11">
        <v>11000302.522</v>
      </c>
      <c r="L78" s="11"/>
      <c r="M78" s="11">
        <v>23104.837</v>
      </c>
      <c r="N78" s="13"/>
      <c r="O78" s="13">
        <f>185+122</f>
        <v>307</v>
      </c>
      <c r="P78" s="13">
        <f>186+125</f>
        <v>311</v>
      </c>
      <c r="Q78" s="13">
        <v>98</v>
      </c>
      <c r="R78" s="23">
        <v>8.27</v>
      </c>
      <c r="S78" s="13">
        <v>107</v>
      </c>
      <c r="T78" s="23">
        <v>10.4</v>
      </c>
      <c r="U78" s="15" t="s">
        <v>264</v>
      </c>
      <c r="V78" s="15" t="s">
        <v>265</v>
      </c>
      <c r="W78" s="24">
        <v>0.4</v>
      </c>
      <c r="X78" s="24"/>
      <c r="Y78" s="24"/>
      <c r="Z78" s="24"/>
      <c r="AA78" s="16">
        <v>251384</v>
      </c>
      <c r="AB78" s="17"/>
      <c r="AC78" s="27">
        <f t="shared" si="8"/>
        <v>9.4405159155614982E-3</v>
      </c>
      <c r="AD78" s="19">
        <v>41707</v>
      </c>
      <c r="AE78" s="20">
        <v>-0.04</v>
      </c>
      <c r="AF78" s="16">
        <v>112990000</v>
      </c>
      <c r="AG78" s="20">
        <v>-1.94</v>
      </c>
      <c r="AH78" s="16">
        <v>11040000</v>
      </c>
      <c r="AI78" s="20">
        <v>-0.56000000000000005</v>
      </c>
      <c r="AJ78" s="7">
        <f t="shared" si="9"/>
        <v>1360246.6</v>
      </c>
      <c r="AK78" s="27">
        <f t="shared" si="9"/>
        <v>6.4963927271504129E-3</v>
      </c>
    </row>
    <row r="79" spans="1:37" ht="22.5" x14ac:dyDescent="0.55000000000000004">
      <c r="A79" s="7" t="s">
        <v>266</v>
      </c>
      <c r="B79" s="25">
        <v>0.52777777777777779</v>
      </c>
      <c r="C79" s="7">
        <v>1357898.97</v>
      </c>
      <c r="D79" s="27">
        <f t="shared" si="5"/>
        <v>-1.7258855857460453E-3</v>
      </c>
      <c r="E79" s="7">
        <v>400887.57</v>
      </c>
      <c r="F79" s="27">
        <f t="shared" si="6"/>
        <v>-2.8813369614422157E-3</v>
      </c>
      <c r="G79" s="9">
        <v>54693934.068000004</v>
      </c>
      <c r="H79" s="9">
        <v>44627.885999999999</v>
      </c>
      <c r="I79" s="24">
        <f t="shared" si="7"/>
        <v>44.627885999999997</v>
      </c>
      <c r="J79" s="24">
        <f t="shared" si="10"/>
        <v>55.010731222222219</v>
      </c>
      <c r="K79" s="11">
        <v>10952199.429</v>
      </c>
      <c r="L79" s="11"/>
      <c r="M79" s="11">
        <v>30274.054</v>
      </c>
      <c r="N79" s="13"/>
      <c r="O79" s="13">
        <f>155+125</f>
        <v>280</v>
      </c>
      <c r="P79" s="13">
        <f>230+125</f>
        <v>355</v>
      </c>
      <c r="Q79" s="13">
        <v>81</v>
      </c>
      <c r="R79" s="23">
        <v>7.98</v>
      </c>
      <c r="S79" s="13">
        <v>111</v>
      </c>
      <c r="T79" s="23">
        <v>10.54</v>
      </c>
      <c r="U79" s="15" t="s">
        <v>267</v>
      </c>
      <c r="V79" s="15" t="s">
        <v>268</v>
      </c>
      <c r="W79" s="24">
        <v>-3.06</v>
      </c>
      <c r="X79" s="24"/>
      <c r="Y79" s="24"/>
      <c r="Z79" s="24"/>
      <c r="AA79" s="16">
        <v>252394</v>
      </c>
      <c r="AB79" s="17"/>
      <c r="AC79" s="27">
        <f t="shared" si="8"/>
        <v>4.0177576934092851E-3</v>
      </c>
      <c r="AD79" s="19">
        <v>40077</v>
      </c>
      <c r="AE79" s="20">
        <v>-3.99</v>
      </c>
      <c r="AF79" s="16">
        <v>112680000</v>
      </c>
      <c r="AG79" s="20">
        <v>0.27</v>
      </c>
      <c r="AH79" s="16">
        <v>10964000</v>
      </c>
      <c r="AI79" s="20">
        <v>-0.1</v>
      </c>
      <c r="AJ79" s="7">
        <f t="shared" si="9"/>
        <v>1357898.97</v>
      </c>
      <c r="AK79" s="27">
        <f t="shared" si="9"/>
        <v>-1.7258855857460453E-3</v>
      </c>
    </row>
    <row r="80" spans="1:37" ht="22.5" x14ac:dyDescent="0.55000000000000004">
      <c r="A80" s="7" t="s">
        <v>269</v>
      </c>
      <c r="B80" s="25">
        <v>0.57638888888888895</v>
      </c>
      <c r="C80" s="7">
        <v>1375611.88</v>
      </c>
      <c r="D80" s="27">
        <f t="shared" si="5"/>
        <v>1.3044350420267303E-2</v>
      </c>
      <c r="E80" s="7">
        <v>400689.98</v>
      </c>
      <c r="F80" s="27">
        <f t="shared" si="6"/>
        <v>-4.9288133328762029E-4</v>
      </c>
      <c r="G80" s="9">
        <v>55411349.954000004</v>
      </c>
      <c r="H80" s="9">
        <v>47298.033000000003</v>
      </c>
      <c r="I80" s="24">
        <f t="shared" si="7"/>
        <v>47.298033000000004</v>
      </c>
      <c r="J80" s="24">
        <f t="shared" si="10"/>
        <v>53.361495444444444</v>
      </c>
      <c r="K80" s="11">
        <v>10883901.794</v>
      </c>
      <c r="L80" s="11"/>
      <c r="M80" s="11">
        <v>26725.614000000001</v>
      </c>
      <c r="N80" s="13"/>
      <c r="O80" s="13">
        <f>182+147</f>
        <v>329</v>
      </c>
      <c r="P80" s="13">
        <f>204+115</f>
        <v>319</v>
      </c>
      <c r="Q80" s="13">
        <v>93</v>
      </c>
      <c r="R80" s="23">
        <v>7.18</v>
      </c>
      <c r="S80" s="13">
        <v>93</v>
      </c>
      <c r="T80" s="23">
        <v>9.48</v>
      </c>
      <c r="U80" s="15" t="s">
        <v>270</v>
      </c>
      <c r="V80" s="15" t="s">
        <v>271</v>
      </c>
      <c r="W80" s="24">
        <v>-1.43</v>
      </c>
      <c r="X80" s="24"/>
      <c r="Y80" s="24"/>
      <c r="Z80" s="24"/>
      <c r="AA80" s="16">
        <v>252503</v>
      </c>
      <c r="AB80" s="17"/>
      <c r="AC80" s="27">
        <f t="shared" si="8"/>
        <v>4.3186446587473171E-4</v>
      </c>
      <c r="AD80" s="19">
        <v>38480</v>
      </c>
      <c r="AE80" s="20">
        <v>-2.81</v>
      </c>
      <c r="AF80" s="16">
        <v>113420000</v>
      </c>
      <c r="AG80" s="20">
        <v>1.1299999999999999</v>
      </c>
      <c r="AH80" s="16">
        <v>10998000</v>
      </c>
      <c r="AI80" s="20">
        <v>0.55000000000000004</v>
      </c>
      <c r="AJ80" s="7">
        <f t="shared" si="9"/>
        <v>1375611.88</v>
      </c>
      <c r="AK80" s="27">
        <f t="shared" si="9"/>
        <v>1.3044350420267303E-2</v>
      </c>
    </row>
    <row r="81" spans="1:37" ht="22.5" x14ac:dyDescent="0.55000000000000004">
      <c r="A81" s="7" t="s">
        <v>272</v>
      </c>
      <c r="B81" s="25">
        <v>0.56458333333333333</v>
      </c>
      <c r="C81" s="7">
        <v>1406040.3</v>
      </c>
      <c r="D81" s="27">
        <f t="shared" si="5"/>
        <v>2.2119916556696317E-2</v>
      </c>
      <c r="E81" s="7">
        <v>403254</v>
      </c>
      <c r="F81" s="27">
        <f t="shared" si="6"/>
        <v>6.3990120242087833E-3</v>
      </c>
      <c r="G81" s="9">
        <v>56516784.254000001</v>
      </c>
      <c r="H81" s="9">
        <v>73848.123000000007</v>
      </c>
      <c r="I81" s="24">
        <f t="shared" si="7"/>
        <v>73.848123000000001</v>
      </c>
      <c r="J81" s="24">
        <f t="shared" si="10"/>
        <v>54.669248555555555</v>
      </c>
      <c r="K81" s="11">
        <v>11036660.569</v>
      </c>
      <c r="L81" s="11"/>
      <c r="M81" s="11">
        <v>30269.798999999999</v>
      </c>
      <c r="N81" s="13"/>
      <c r="O81" s="13">
        <f>232+154</f>
        <v>386</v>
      </c>
      <c r="P81" s="13">
        <f>153+94</f>
        <v>247</v>
      </c>
      <c r="Q81" s="13">
        <v>118</v>
      </c>
      <c r="R81" s="23">
        <v>9.1999999999999993</v>
      </c>
      <c r="S81" s="13">
        <v>90</v>
      </c>
      <c r="T81" s="23">
        <v>8.0500000000000007</v>
      </c>
      <c r="U81" s="15" t="s">
        <v>273</v>
      </c>
      <c r="V81" s="15" t="s">
        <v>274</v>
      </c>
      <c r="W81" s="24">
        <v>0.51</v>
      </c>
      <c r="X81" s="24"/>
      <c r="Y81" s="24"/>
      <c r="Z81" s="24"/>
      <c r="AA81" s="16">
        <v>252550</v>
      </c>
      <c r="AB81" s="17"/>
      <c r="AC81" s="27">
        <f t="shared" si="8"/>
        <v>1.86136402339665E-4</v>
      </c>
      <c r="AD81" s="19">
        <v>37758</v>
      </c>
      <c r="AE81" s="20">
        <v>-2.06</v>
      </c>
      <c r="AF81" s="16">
        <v>112490000</v>
      </c>
      <c r="AG81" s="20">
        <v>-1.04</v>
      </c>
      <c r="AH81" s="16">
        <v>10957000</v>
      </c>
      <c r="AI81" s="20">
        <v>-0.36</v>
      </c>
      <c r="AJ81" s="7">
        <f t="shared" si="9"/>
        <v>1406040.3</v>
      </c>
      <c r="AK81" s="27">
        <f t="shared" si="9"/>
        <v>2.2119916556696317E-2</v>
      </c>
    </row>
    <row r="82" spans="1:37" ht="22.5" x14ac:dyDescent="0.55000000000000004">
      <c r="A82" s="7" t="s">
        <v>275</v>
      </c>
      <c r="B82" s="25">
        <v>0.5395833333333333</v>
      </c>
      <c r="C82" s="7">
        <v>1407759.08</v>
      </c>
      <c r="D82" s="27">
        <f t="shared" si="5"/>
        <v>1.2224258436974722E-3</v>
      </c>
      <c r="E82" s="7">
        <v>404248.44</v>
      </c>
      <c r="F82" s="27">
        <f t="shared" si="6"/>
        <v>2.4660387745689683E-3</v>
      </c>
      <c r="G82" s="9">
        <v>56583950.443000004</v>
      </c>
      <c r="H82" s="9">
        <v>59475.894999999997</v>
      </c>
      <c r="I82" s="24">
        <f t="shared" si="7"/>
        <v>59.475894999999994</v>
      </c>
      <c r="J82" s="24">
        <f t="shared" si="10"/>
        <v>56.030954888888886</v>
      </c>
      <c r="K82" s="11">
        <v>11048444.884</v>
      </c>
      <c r="L82" s="11"/>
      <c r="M82" s="11">
        <v>35927.233</v>
      </c>
      <c r="N82" s="13"/>
      <c r="O82" s="13">
        <f>173+120</f>
        <v>293</v>
      </c>
      <c r="P82" s="13">
        <f>205+128</f>
        <v>333</v>
      </c>
      <c r="Q82" s="13">
        <v>93</v>
      </c>
      <c r="R82" s="23">
        <v>4.6100000000000003</v>
      </c>
      <c r="S82" s="13">
        <v>93</v>
      </c>
      <c r="T82" s="23">
        <v>9.24</v>
      </c>
      <c r="U82" s="15" t="s">
        <v>276</v>
      </c>
      <c r="V82" s="15" t="s">
        <v>277</v>
      </c>
      <c r="W82" s="24">
        <v>-2.92</v>
      </c>
      <c r="X82" s="24"/>
      <c r="Y82" s="24"/>
      <c r="Z82" s="24"/>
      <c r="AA82" s="16">
        <v>251035</v>
      </c>
      <c r="AB82" s="17"/>
      <c r="AC82" s="27">
        <f t="shared" si="8"/>
        <v>-5.9988121164126218E-3</v>
      </c>
      <c r="AD82" s="19">
        <v>43214</v>
      </c>
      <c r="AE82" s="20">
        <v>5.9</v>
      </c>
      <c r="AF82" s="16">
        <v>110690000</v>
      </c>
      <c r="AG82" s="20">
        <v>-2.4700000000000002</v>
      </c>
      <c r="AH82" s="16">
        <v>10775000</v>
      </c>
      <c r="AI82" s="20">
        <v>-2.16</v>
      </c>
      <c r="AJ82" s="7">
        <f t="shared" si="9"/>
        <v>1407759.08</v>
      </c>
      <c r="AK82" s="27">
        <f t="shared" si="9"/>
        <v>1.2224258436974722E-3</v>
      </c>
    </row>
    <row r="83" spans="1:37" ht="22.5" x14ac:dyDescent="0.55000000000000004">
      <c r="A83" s="7" t="s">
        <v>278</v>
      </c>
      <c r="B83" s="25"/>
      <c r="C83" s="7">
        <v>1417861.9</v>
      </c>
      <c r="D83" s="27">
        <f t="shared" si="5"/>
        <v>7.1765262561829246E-3</v>
      </c>
      <c r="E83" s="7">
        <v>407790</v>
      </c>
      <c r="F83" s="27">
        <f t="shared" si="6"/>
        <v>8.7608501346350121E-3</v>
      </c>
      <c r="G83" s="9">
        <v>56999410</v>
      </c>
      <c r="H83" s="9">
        <v>55225</v>
      </c>
      <c r="I83" s="24">
        <f t="shared" si="7"/>
        <v>55.225000000000001</v>
      </c>
      <c r="J83" s="24">
        <f t="shared" si="10"/>
        <v>55.991732666666664</v>
      </c>
      <c r="K83" s="11">
        <v>11099284</v>
      </c>
      <c r="L83" s="11"/>
      <c r="M83" s="11">
        <v>50901</v>
      </c>
      <c r="N83" s="13"/>
      <c r="O83" s="13">
        <v>397</v>
      </c>
      <c r="P83" s="13">
        <v>234</v>
      </c>
      <c r="Q83" s="13">
        <v>128</v>
      </c>
      <c r="R83" s="23">
        <v>8.5</v>
      </c>
      <c r="S83" s="13">
        <v>70</v>
      </c>
      <c r="T83" s="23">
        <v>8</v>
      </c>
      <c r="U83" s="15"/>
      <c r="V83" s="15"/>
      <c r="W83" s="24">
        <v>-2.9</v>
      </c>
      <c r="X83" s="24"/>
      <c r="Y83" s="24"/>
      <c r="Z83" s="24"/>
      <c r="AA83" s="16">
        <v>252666</v>
      </c>
      <c r="AB83" s="17"/>
      <c r="AC83" s="27">
        <f t="shared" si="8"/>
        <v>6.4971019977293487E-3</v>
      </c>
      <c r="AD83" s="19"/>
      <c r="AE83" s="20"/>
      <c r="AF83" s="16"/>
      <c r="AG83" s="20"/>
      <c r="AH83" s="16"/>
      <c r="AI83" s="20"/>
      <c r="AJ83" s="7">
        <f t="shared" si="9"/>
        <v>1417861.9</v>
      </c>
      <c r="AK83" s="27">
        <f t="shared" si="9"/>
        <v>7.1765262561829246E-3</v>
      </c>
    </row>
    <row r="84" spans="1:37" ht="22.5" x14ac:dyDescent="0.55000000000000004">
      <c r="A84" s="7" t="s">
        <v>279</v>
      </c>
      <c r="B84" s="25">
        <v>0.54166666666666663</v>
      </c>
      <c r="C84" s="7">
        <v>1433179.83</v>
      </c>
      <c r="D84" s="27">
        <f t="shared" si="5"/>
        <v>1.0803541586102305E-2</v>
      </c>
      <c r="E84" s="7">
        <v>412750.28</v>
      </c>
      <c r="F84" s="27">
        <f t="shared" si="6"/>
        <v>1.216380980406595E-2</v>
      </c>
      <c r="G84" s="9">
        <v>57616114.506999999</v>
      </c>
      <c r="H84" s="9">
        <v>70538.445000000007</v>
      </c>
      <c r="I84" s="24">
        <f t="shared" si="7"/>
        <v>70.53844500000001</v>
      </c>
      <c r="J84" s="24">
        <f t="shared" si="10"/>
        <v>57.701633777777779</v>
      </c>
      <c r="K84" s="11">
        <v>11176110.465</v>
      </c>
      <c r="L84" s="11"/>
      <c r="M84" s="11">
        <v>176746.95199999999</v>
      </c>
      <c r="N84" s="13"/>
      <c r="O84" s="13">
        <f>283+179</f>
        <v>462</v>
      </c>
      <c r="P84" s="13">
        <f>108+77</f>
        <v>185</v>
      </c>
      <c r="Q84" s="13">
        <v>156</v>
      </c>
      <c r="R84" s="23">
        <v>7.7</v>
      </c>
      <c r="S84" s="13">
        <v>62</v>
      </c>
      <c r="T84" s="23">
        <v>8.5</v>
      </c>
      <c r="U84" s="15" t="s">
        <v>280</v>
      </c>
      <c r="V84" s="15" t="s">
        <v>281</v>
      </c>
      <c r="W84" s="24">
        <v>-1.71</v>
      </c>
      <c r="X84" s="24"/>
      <c r="Y84" s="24"/>
      <c r="Z84" s="24"/>
      <c r="AA84" s="16">
        <v>253517</v>
      </c>
      <c r="AB84" s="17"/>
      <c r="AC84" s="27">
        <f t="shared" si="8"/>
        <v>3.3680827653899126E-3</v>
      </c>
      <c r="AD84" s="19">
        <v>43636</v>
      </c>
      <c r="AE84" s="20">
        <v>-2.58</v>
      </c>
      <c r="AF84" s="16">
        <v>111810000</v>
      </c>
      <c r="AG84" s="20">
        <v>-0.57999999999999996</v>
      </c>
      <c r="AH84" s="16">
        <v>10821000</v>
      </c>
      <c r="AI84" s="20">
        <v>-0.41</v>
      </c>
      <c r="AJ84" s="7">
        <f t="shared" ref="AJ84:AK124" si="11">C84</f>
        <v>1433179.83</v>
      </c>
      <c r="AK84" s="27">
        <f t="shared" si="11"/>
        <v>1.0803541586102305E-2</v>
      </c>
    </row>
    <row r="85" spans="1:37" ht="22.5" x14ac:dyDescent="0.55000000000000004">
      <c r="A85" s="7" t="s">
        <v>282</v>
      </c>
      <c r="B85" s="25">
        <v>0.53472222222222221</v>
      </c>
      <c r="C85" s="7">
        <v>1453796.01</v>
      </c>
      <c r="D85" s="27">
        <f t="shared" si="5"/>
        <v>1.4384921953583429E-2</v>
      </c>
      <c r="E85" s="7">
        <v>418170.63</v>
      </c>
      <c r="F85" s="27">
        <f t="shared" si="6"/>
        <v>1.313227455593724E-2</v>
      </c>
      <c r="G85" s="9">
        <v>58444507.711000003</v>
      </c>
      <c r="H85" s="9">
        <v>77084.842999999993</v>
      </c>
      <c r="I85" s="24">
        <f t="shared" si="7"/>
        <v>77.084842999999992</v>
      </c>
      <c r="J85" s="24">
        <f t="shared" si="10"/>
        <v>60.130954111111109</v>
      </c>
      <c r="K85" s="11">
        <v>11362063.880000001</v>
      </c>
      <c r="L85" s="11"/>
      <c r="M85" s="11">
        <v>82124.485000000001</v>
      </c>
      <c r="N85" s="13"/>
      <c r="O85" s="13">
        <f>278+164</f>
        <v>442</v>
      </c>
      <c r="P85" s="13">
        <f>111+86</f>
        <v>197</v>
      </c>
      <c r="Q85" s="13">
        <v>165</v>
      </c>
      <c r="R85" s="23">
        <v>13.5</v>
      </c>
      <c r="S85" s="13">
        <v>65</v>
      </c>
      <c r="T85" s="23">
        <v>10.8</v>
      </c>
      <c r="U85" s="15" t="s">
        <v>283</v>
      </c>
      <c r="V85" s="15" t="s">
        <v>284</v>
      </c>
      <c r="W85" s="24">
        <v>-1.45</v>
      </c>
      <c r="X85" s="24"/>
      <c r="Y85" s="24"/>
      <c r="Z85" s="24"/>
      <c r="AA85" s="16">
        <v>255360</v>
      </c>
      <c r="AB85" s="17"/>
      <c r="AC85" s="27">
        <f t="shared" si="8"/>
        <v>7.2697294461514517E-3</v>
      </c>
      <c r="AD85" s="19">
        <v>45777</v>
      </c>
      <c r="AE85" s="20">
        <v>4.8099999999999996</v>
      </c>
      <c r="AF85" s="16">
        <v>112960000</v>
      </c>
      <c r="AG85" s="20">
        <v>0.35</v>
      </c>
      <c r="AH85" s="16">
        <v>10885000</v>
      </c>
      <c r="AI85" s="20">
        <v>0.34</v>
      </c>
      <c r="AJ85" s="7">
        <f t="shared" si="11"/>
        <v>1453796.01</v>
      </c>
      <c r="AK85" s="27">
        <f t="shared" si="11"/>
        <v>1.4384921953583429E-2</v>
      </c>
    </row>
    <row r="86" spans="1:37" ht="22.5" x14ac:dyDescent="0.55000000000000004">
      <c r="A86" s="7" t="s">
        <v>285</v>
      </c>
      <c r="B86" s="25"/>
      <c r="C86" s="7">
        <v>1484627.3</v>
      </c>
      <c r="D86" s="27">
        <f t="shared" si="5"/>
        <v>2.1207438862072658E-2</v>
      </c>
      <c r="E86" s="7">
        <v>422339</v>
      </c>
      <c r="F86" s="27">
        <f t="shared" si="6"/>
        <v>9.9681079945763695E-3</v>
      </c>
      <c r="G86" s="9">
        <v>59614946</v>
      </c>
      <c r="H86" s="9">
        <v>98845</v>
      </c>
      <c r="I86" s="24">
        <f t="shared" si="7"/>
        <v>98.844999999999999</v>
      </c>
      <c r="J86" s="24">
        <f t="shared" si="10"/>
        <v>64.685215222222212</v>
      </c>
      <c r="K86" s="11">
        <v>11593328</v>
      </c>
      <c r="L86" s="11"/>
      <c r="M86" s="11">
        <v>66250</v>
      </c>
      <c r="N86" s="13"/>
      <c r="O86" s="13">
        <v>414</v>
      </c>
      <c r="P86" s="13">
        <v>229</v>
      </c>
      <c r="Q86" s="13">
        <v>123</v>
      </c>
      <c r="R86" s="23">
        <v>13.57</v>
      </c>
      <c r="S86" s="13">
        <v>57</v>
      </c>
      <c r="T86" s="23">
        <v>10.199999999999999</v>
      </c>
      <c r="U86" s="15" t="s">
        <v>286</v>
      </c>
      <c r="V86" s="15" t="s">
        <v>287</v>
      </c>
      <c r="W86" s="20">
        <v>0.02</v>
      </c>
      <c r="X86" s="20"/>
      <c r="Y86" s="20"/>
      <c r="Z86" s="20"/>
      <c r="AA86" s="16">
        <v>260580</v>
      </c>
      <c r="AB86" s="17"/>
      <c r="AC86" s="27">
        <f t="shared" si="8"/>
        <v>2.0441729323308344E-2</v>
      </c>
      <c r="AD86" s="19">
        <v>46454</v>
      </c>
      <c r="AE86" s="20">
        <v>0.98</v>
      </c>
      <c r="AF86" s="16">
        <v>115670000</v>
      </c>
      <c r="AG86" s="20">
        <v>2.5499999999999998</v>
      </c>
      <c r="AH86" s="16">
        <v>11063000</v>
      </c>
      <c r="AI86" s="20">
        <v>1.31</v>
      </c>
      <c r="AJ86" s="7">
        <f t="shared" si="11"/>
        <v>1484627.3</v>
      </c>
      <c r="AK86" s="27">
        <f t="shared" si="11"/>
        <v>2.1207438862072658E-2</v>
      </c>
    </row>
    <row r="87" spans="1:37" ht="22.5" x14ac:dyDescent="0.55000000000000004">
      <c r="A87" s="7" t="s">
        <v>288</v>
      </c>
      <c r="B87" s="25">
        <v>0.56597222222222221</v>
      </c>
      <c r="C87" s="7">
        <v>1480803.6</v>
      </c>
      <c r="D87" s="27">
        <f t="shared" si="5"/>
        <v>-2.5755285518459514E-3</v>
      </c>
      <c r="E87" s="7">
        <v>422681.54</v>
      </c>
      <c r="F87" s="27">
        <f t="shared" si="6"/>
        <v>8.1105462673347617E-4</v>
      </c>
      <c r="G87" s="9">
        <v>59439168.914999999</v>
      </c>
      <c r="H87" s="9">
        <v>90514.652000000002</v>
      </c>
      <c r="I87" s="24">
        <f t="shared" si="7"/>
        <v>90.514651999999998</v>
      </c>
      <c r="J87" s="24">
        <f t="shared" si="10"/>
        <v>68.606430777777774</v>
      </c>
      <c r="K87" s="11">
        <v>11652220.686000001</v>
      </c>
      <c r="L87" s="11"/>
      <c r="M87" s="11">
        <v>128209.815</v>
      </c>
      <c r="N87" s="13"/>
      <c r="O87" s="13">
        <f>202+105</f>
        <v>307</v>
      </c>
      <c r="P87" s="13">
        <f>181+142</f>
        <v>323</v>
      </c>
      <c r="Q87" s="13">
        <v>106</v>
      </c>
      <c r="R87" s="23">
        <v>9.15</v>
      </c>
      <c r="S87" s="13">
        <v>89</v>
      </c>
      <c r="T87" s="23">
        <v>9.86</v>
      </c>
      <c r="U87" s="15" t="s">
        <v>289</v>
      </c>
      <c r="V87" s="15" t="s">
        <v>290</v>
      </c>
      <c r="W87" s="24">
        <v>-4.41</v>
      </c>
      <c r="X87" s="24"/>
      <c r="Y87" s="24"/>
      <c r="Z87" s="24"/>
      <c r="AA87" s="16">
        <v>260580</v>
      </c>
      <c r="AB87" s="17"/>
      <c r="AC87" s="27">
        <f t="shared" si="8"/>
        <v>0</v>
      </c>
      <c r="AD87" s="19">
        <v>47659</v>
      </c>
      <c r="AE87" s="20">
        <v>3.11</v>
      </c>
      <c r="AF87" s="16">
        <v>117440000</v>
      </c>
      <c r="AG87" s="20">
        <v>1.59</v>
      </c>
      <c r="AH87" s="16">
        <v>11181000</v>
      </c>
      <c r="AI87" s="20">
        <v>1</v>
      </c>
      <c r="AJ87" s="7">
        <f t="shared" si="11"/>
        <v>1480803.6</v>
      </c>
      <c r="AK87" s="27">
        <f t="shared" si="11"/>
        <v>-2.5755285518459514E-3</v>
      </c>
    </row>
    <row r="88" spans="1:37" ht="22.5" x14ac:dyDescent="0.55000000000000004">
      <c r="A88" s="7" t="s">
        <v>291</v>
      </c>
      <c r="B88" s="25">
        <v>0.53819444444444442</v>
      </c>
      <c r="C88" s="7">
        <v>1499923.4</v>
      </c>
      <c r="D88" s="27">
        <f t="shared" si="5"/>
        <v>1.2911773039989694E-2</v>
      </c>
      <c r="E88" s="7">
        <v>428315.11</v>
      </c>
      <c r="F88" s="27">
        <f t="shared" si="6"/>
        <v>1.3328166638173933E-2</v>
      </c>
      <c r="G88" s="9">
        <v>60238603.597999997</v>
      </c>
      <c r="H88" s="9">
        <v>74861.899000000005</v>
      </c>
      <c r="I88" s="24">
        <f t="shared" si="7"/>
        <v>74.861899000000008</v>
      </c>
      <c r="J88" s="24">
        <f t="shared" si="10"/>
        <v>71.965765555555549</v>
      </c>
      <c r="K88" s="11">
        <v>11769693.994000001</v>
      </c>
      <c r="L88" s="11"/>
      <c r="M88" s="11">
        <v>211230.41200000001</v>
      </c>
      <c r="N88" s="13"/>
      <c r="O88" s="13">
        <f>291+164</f>
        <v>455</v>
      </c>
      <c r="P88" s="13">
        <f>86+68</f>
        <v>154</v>
      </c>
      <c r="Q88" s="13">
        <v>136</v>
      </c>
      <c r="R88" s="23">
        <v>10.7</v>
      </c>
      <c r="S88" s="13">
        <v>69</v>
      </c>
      <c r="T88" s="23">
        <v>8.1999999999999993</v>
      </c>
      <c r="U88" s="15" t="s">
        <v>292</v>
      </c>
      <c r="V88" s="15" t="s">
        <v>293</v>
      </c>
      <c r="W88" s="24">
        <v>-0.91</v>
      </c>
      <c r="X88" s="24"/>
      <c r="Y88" s="24"/>
      <c r="Z88" s="24"/>
      <c r="AA88" s="16">
        <v>259215</v>
      </c>
      <c r="AB88" s="17"/>
      <c r="AC88" s="27">
        <f t="shared" si="8"/>
        <v>-5.2383145291273747E-3</v>
      </c>
      <c r="AD88" s="19">
        <v>45830</v>
      </c>
      <c r="AE88" s="20">
        <v>-3.38</v>
      </c>
      <c r="AF88" s="16">
        <v>118270000</v>
      </c>
      <c r="AG88" s="20">
        <v>1.0900000000000001</v>
      </c>
      <c r="AH88" s="16">
        <v>11257000</v>
      </c>
      <c r="AI88" s="20">
        <v>0.93</v>
      </c>
      <c r="AJ88" s="7">
        <f t="shared" si="11"/>
        <v>1499923.4</v>
      </c>
      <c r="AK88" s="27">
        <f t="shared" si="11"/>
        <v>1.2911773039989694E-2</v>
      </c>
    </row>
    <row r="89" spans="1:37" ht="22.5" x14ac:dyDescent="0.55000000000000004">
      <c r="A89" s="7" t="s">
        <v>294</v>
      </c>
      <c r="B89" s="25">
        <v>0.54652777777777783</v>
      </c>
      <c r="C89" s="7">
        <v>1515548.6</v>
      </c>
      <c r="D89" s="27">
        <f t="shared" si="5"/>
        <v>1.0417331978419764E-2</v>
      </c>
      <c r="E89" s="7">
        <v>436025.44</v>
      </c>
      <c r="F89" s="27">
        <f t="shared" si="6"/>
        <v>1.8001536298824616E-2</v>
      </c>
      <c r="G89" s="9">
        <v>60865922.078000002</v>
      </c>
      <c r="H89" s="9">
        <v>101584.38</v>
      </c>
      <c r="I89" s="24">
        <f t="shared" si="7"/>
        <v>101.58438000000001</v>
      </c>
      <c r="J89" s="24">
        <f t="shared" si="10"/>
        <v>77.997581888888874</v>
      </c>
      <c r="K89" s="11">
        <v>11943786.844000001</v>
      </c>
      <c r="L89" s="11"/>
      <c r="M89" s="11">
        <v>108184.74</v>
      </c>
      <c r="N89" s="13"/>
      <c r="O89" s="13">
        <f>273+185</f>
        <v>458</v>
      </c>
      <c r="P89" s="13">
        <f>107+77</f>
        <v>184</v>
      </c>
      <c r="Q89" s="13">
        <v>173</v>
      </c>
      <c r="R89" s="23">
        <v>9.3000000000000007</v>
      </c>
      <c r="S89" s="13">
        <v>61</v>
      </c>
      <c r="T89" s="23">
        <v>7.4</v>
      </c>
      <c r="U89" s="15" t="s">
        <v>295</v>
      </c>
      <c r="V89" s="15" t="s">
        <v>296</v>
      </c>
      <c r="W89" s="24">
        <v>-1.73</v>
      </c>
      <c r="X89" s="24"/>
      <c r="Y89" s="24"/>
      <c r="Z89" s="24"/>
      <c r="AA89" s="16">
        <v>267295</v>
      </c>
      <c r="AB89" s="17"/>
      <c r="AC89" s="27">
        <f t="shared" si="8"/>
        <v>3.117103562679624E-2</v>
      </c>
      <c r="AD89" s="19">
        <v>49031</v>
      </c>
      <c r="AE89" s="20">
        <v>0.31</v>
      </c>
      <c r="AF89" s="16">
        <v>120530000</v>
      </c>
      <c r="AG89" s="20">
        <v>0.87</v>
      </c>
      <c r="AH89" s="16">
        <v>11585000</v>
      </c>
      <c r="AI89" s="20">
        <v>1.05</v>
      </c>
      <c r="AJ89" s="7">
        <f t="shared" si="11"/>
        <v>1515548.6</v>
      </c>
      <c r="AK89" s="27">
        <f t="shared" si="11"/>
        <v>1.0417331978419764E-2</v>
      </c>
    </row>
    <row r="90" spans="1:37" ht="22.5" x14ac:dyDescent="0.55000000000000004">
      <c r="A90" s="7" t="s">
        <v>297</v>
      </c>
      <c r="B90" s="25">
        <v>0.5625</v>
      </c>
      <c r="C90" s="7">
        <v>1515886.18</v>
      </c>
      <c r="D90" s="27">
        <f t="shared" si="5"/>
        <v>2.2274442403213968E-4</v>
      </c>
      <c r="E90" s="7">
        <v>440131.23</v>
      </c>
      <c r="F90" s="27">
        <f t="shared" si="6"/>
        <v>9.4164001072964965E-3</v>
      </c>
      <c r="G90" s="9">
        <v>60881179.457999997</v>
      </c>
      <c r="H90" s="9">
        <v>95639.482999999993</v>
      </c>
      <c r="I90" s="24">
        <f t="shared" si="7"/>
        <v>95.639482999999998</v>
      </c>
      <c r="J90" s="24">
        <f t="shared" si="10"/>
        <v>80.418844111111127</v>
      </c>
      <c r="K90" s="11">
        <v>11954960.597999999</v>
      </c>
      <c r="L90" s="11"/>
      <c r="M90" s="11">
        <v>117654.592</v>
      </c>
      <c r="N90" s="13"/>
      <c r="O90" s="13">
        <f>250+131</f>
        <v>381</v>
      </c>
      <c r="P90" s="13">
        <f>132+112</f>
        <v>244</v>
      </c>
      <c r="Q90" s="13">
        <v>184</v>
      </c>
      <c r="R90" s="23">
        <v>10.52</v>
      </c>
      <c r="S90" s="13">
        <v>50</v>
      </c>
      <c r="T90" s="23">
        <v>6.11</v>
      </c>
      <c r="U90" s="15" t="s">
        <v>298</v>
      </c>
      <c r="V90" s="15" t="s">
        <v>299</v>
      </c>
      <c r="W90" s="24">
        <v>-1.27</v>
      </c>
      <c r="X90" s="24"/>
      <c r="Y90" s="24"/>
      <c r="Z90" s="24"/>
      <c r="AA90" s="16">
        <v>268623</v>
      </c>
      <c r="AB90" s="17"/>
      <c r="AC90" s="27">
        <f t="shared" si="8"/>
        <v>4.9682934585382199E-3</v>
      </c>
      <c r="AD90" s="19">
        <v>50306</v>
      </c>
      <c r="AE90" s="20">
        <v>2.54</v>
      </c>
      <c r="AF90" s="16">
        <v>120520000</v>
      </c>
      <c r="AG90" s="20">
        <v>0.37</v>
      </c>
      <c r="AH90" s="16">
        <v>11587000</v>
      </c>
      <c r="AI90" s="20">
        <v>0.34</v>
      </c>
      <c r="AJ90" s="7">
        <f t="shared" si="11"/>
        <v>1515886.18</v>
      </c>
      <c r="AK90" s="27">
        <f t="shared" si="11"/>
        <v>2.2274442403213968E-4</v>
      </c>
    </row>
    <row r="91" spans="1:37" ht="22.5" x14ac:dyDescent="0.55000000000000004">
      <c r="A91" s="7" t="s">
        <v>300</v>
      </c>
      <c r="B91" s="25">
        <v>0.54861111111111105</v>
      </c>
      <c r="C91" s="7">
        <v>1543476.12</v>
      </c>
      <c r="D91" s="27">
        <f t="shared" si="5"/>
        <v>1.8200535346261981E-2</v>
      </c>
      <c r="E91" s="7">
        <v>451219.18</v>
      </c>
      <c r="F91" s="27">
        <f t="shared" si="6"/>
        <v>2.5192372738467084E-2</v>
      </c>
      <c r="G91" s="9">
        <v>61826339.43</v>
      </c>
      <c r="H91" s="9">
        <v>92777.804000000004</v>
      </c>
      <c r="I91" s="24">
        <f t="shared" si="7"/>
        <v>92.777804000000003</v>
      </c>
      <c r="J91" s="24">
        <f t="shared" si="10"/>
        <v>84.119056222222227</v>
      </c>
      <c r="K91" s="11">
        <v>12129610.186000001</v>
      </c>
      <c r="L91" s="11"/>
      <c r="M91" s="11">
        <v>46083.190999999999</v>
      </c>
      <c r="N91" s="13"/>
      <c r="O91" s="13">
        <f>189+335</f>
        <v>524</v>
      </c>
      <c r="P91" s="13">
        <f>40+60</f>
        <v>100</v>
      </c>
      <c r="Q91" s="13">
        <v>278</v>
      </c>
      <c r="R91" s="23">
        <v>14.53</v>
      </c>
      <c r="S91" s="13">
        <v>34</v>
      </c>
      <c r="T91" s="23">
        <v>6.49</v>
      </c>
      <c r="U91" s="15" t="s">
        <v>301</v>
      </c>
      <c r="V91" s="15" t="s">
        <v>302</v>
      </c>
      <c r="W91" s="24">
        <v>3.18</v>
      </c>
      <c r="X91" s="24"/>
      <c r="Y91" s="24"/>
      <c r="Z91" s="24"/>
      <c r="AA91" s="16">
        <v>270138</v>
      </c>
      <c r="AB91" s="17"/>
      <c r="AC91" s="27">
        <f t="shared" si="8"/>
        <v>5.6398744709127424E-3</v>
      </c>
      <c r="AD91" s="19">
        <v>49701</v>
      </c>
      <c r="AE91" s="20">
        <v>-1.0900000000000001</v>
      </c>
      <c r="AF91" s="16">
        <v>122120000</v>
      </c>
      <c r="AG91" s="20">
        <v>0.11</v>
      </c>
      <c r="AH91" s="16">
        <v>11774000</v>
      </c>
      <c r="AI91" s="20">
        <v>0.35</v>
      </c>
      <c r="AJ91" s="7">
        <f t="shared" si="11"/>
        <v>1543476.12</v>
      </c>
      <c r="AK91" s="27">
        <f t="shared" si="11"/>
        <v>1.8200535346261981E-2</v>
      </c>
    </row>
    <row r="92" spans="1:37" ht="22.5" x14ac:dyDescent="0.55000000000000004">
      <c r="A92" s="7" t="s">
        <v>303</v>
      </c>
      <c r="B92" s="25">
        <v>0.52777777777777779</v>
      </c>
      <c r="C92" s="7">
        <v>1550208.4</v>
      </c>
      <c r="D92" s="27">
        <f t="shared" si="5"/>
        <v>4.3617649231915134E-3</v>
      </c>
      <c r="E92" s="7">
        <v>456358</v>
      </c>
      <c r="F92" s="27">
        <f t="shared" si="6"/>
        <v>1.1388744600794753E-2</v>
      </c>
      <c r="G92" s="9">
        <v>62098440.270000003</v>
      </c>
      <c r="H92" s="9">
        <v>110002.23</v>
      </c>
      <c r="I92" s="24">
        <f t="shared" si="7"/>
        <v>110.00223</v>
      </c>
      <c r="J92" s="24">
        <f t="shared" si="10"/>
        <v>90.205415111111122</v>
      </c>
      <c r="K92" s="11">
        <v>12184648.27</v>
      </c>
      <c r="L92" s="11"/>
      <c r="M92" s="11">
        <v>43710.74</v>
      </c>
      <c r="N92" s="13"/>
      <c r="O92" s="13">
        <f>271+143</f>
        <v>414</v>
      </c>
      <c r="P92" s="13">
        <f>101+109</f>
        <v>210</v>
      </c>
      <c r="Q92" s="13">
        <v>207</v>
      </c>
      <c r="R92" s="23">
        <v>13.83</v>
      </c>
      <c r="S92" s="13">
        <v>34</v>
      </c>
      <c r="T92" s="23">
        <v>5.34</v>
      </c>
      <c r="U92" s="15" t="s">
        <v>304</v>
      </c>
      <c r="V92" s="15" t="s">
        <v>305</v>
      </c>
      <c r="W92" s="24">
        <v>0.9</v>
      </c>
      <c r="X92" s="24"/>
      <c r="Y92" s="24"/>
      <c r="Z92" s="24"/>
      <c r="AA92" s="16">
        <v>272294</v>
      </c>
      <c r="AB92" s="17"/>
      <c r="AC92" s="27">
        <f t="shared" si="8"/>
        <v>7.98110595325352E-3</v>
      </c>
      <c r="AD92" s="19">
        <v>47964</v>
      </c>
      <c r="AE92" s="20">
        <v>-3.54</v>
      </c>
      <c r="AF92" s="16">
        <v>121640000</v>
      </c>
      <c r="AG92" s="20">
        <v>0.33</v>
      </c>
      <c r="AH92" s="16">
        <v>11788000</v>
      </c>
      <c r="AI92" s="20">
        <v>0.27</v>
      </c>
      <c r="AJ92" s="7">
        <f t="shared" si="11"/>
        <v>1550208.4</v>
      </c>
      <c r="AK92" s="27">
        <f t="shared" si="11"/>
        <v>4.3617649231915134E-3</v>
      </c>
    </row>
    <row r="93" spans="1:37" ht="22.5" x14ac:dyDescent="0.55000000000000004">
      <c r="A93" s="7" t="s">
        <v>306</v>
      </c>
      <c r="B93" s="25">
        <v>0.56944444444444442</v>
      </c>
      <c r="C93" s="7">
        <v>1575763.49</v>
      </c>
      <c r="D93" s="27">
        <f t="shared" si="5"/>
        <v>1.6484938412151706E-2</v>
      </c>
      <c r="E93" s="7">
        <v>467507.68</v>
      </c>
      <c r="F93" s="27">
        <f t="shared" si="6"/>
        <v>2.4431871469328792E-2</v>
      </c>
      <c r="G93" s="9">
        <v>63147780.769000001</v>
      </c>
      <c r="H93" s="9">
        <v>114407.887</v>
      </c>
      <c r="I93" s="24">
        <f t="shared" si="7"/>
        <v>114.407887</v>
      </c>
      <c r="J93" s="24">
        <f t="shared" si="10"/>
        <v>95.079797555555558</v>
      </c>
      <c r="K93" s="11">
        <v>12408737.766000001</v>
      </c>
      <c r="L93" s="11"/>
      <c r="M93" s="11">
        <v>81633.100999999995</v>
      </c>
      <c r="N93" s="13"/>
      <c r="O93" s="13">
        <f>338+180</f>
        <v>518</v>
      </c>
      <c r="P93" s="13">
        <f>49+78</f>
        <v>127</v>
      </c>
      <c r="Q93" s="13">
        <v>274</v>
      </c>
      <c r="R93" s="23">
        <v>16.8</v>
      </c>
      <c r="S93" s="13">
        <v>26</v>
      </c>
      <c r="T93" s="23">
        <v>4.5</v>
      </c>
      <c r="U93" s="15" t="s">
        <v>307</v>
      </c>
      <c r="V93" s="15" t="s">
        <v>308</v>
      </c>
      <c r="W93" s="24">
        <v>4.5599999999999996</v>
      </c>
      <c r="X93" s="24"/>
      <c r="Y93" s="24"/>
      <c r="Z93" s="24"/>
      <c r="AA93" s="16">
        <v>278421</v>
      </c>
      <c r="AB93" s="17"/>
      <c r="AC93" s="27">
        <f t="shared" si="8"/>
        <v>2.2501413912902946E-2</v>
      </c>
      <c r="AD93" s="19">
        <v>48950</v>
      </c>
      <c r="AE93" s="20">
        <v>3.83</v>
      </c>
      <c r="AF93" s="16">
        <v>122290000</v>
      </c>
      <c r="AG93" s="20">
        <v>2.1</v>
      </c>
      <c r="AH93" s="16">
        <v>11973000</v>
      </c>
      <c r="AI93" s="20">
        <v>2.23</v>
      </c>
      <c r="AJ93" s="7">
        <f t="shared" si="11"/>
        <v>1575763.49</v>
      </c>
      <c r="AK93" s="27">
        <f t="shared" si="11"/>
        <v>1.6484938412151706E-2</v>
      </c>
    </row>
    <row r="94" spans="1:37" ht="22.5" x14ac:dyDescent="0.55000000000000004">
      <c r="A94" s="7" t="s">
        <v>309</v>
      </c>
      <c r="B94" s="25">
        <v>0.54166666666666663</v>
      </c>
      <c r="C94" s="7">
        <v>1573407.03</v>
      </c>
      <c r="D94" s="27">
        <f t="shared" si="5"/>
        <v>-1.4954401564412079E-3</v>
      </c>
      <c r="E94" s="7">
        <v>467515.25</v>
      </c>
      <c r="F94" s="27">
        <f t="shared" si="6"/>
        <v>1.6192247365820478E-5</v>
      </c>
      <c r="G94" s="9">
        <v>63053531.682999998</v>
      </c>
      <c r="H94" s="9">
        <v>141334.50399999999</v>
      </c>
      <c r="I94" s="24">
        <f t="shared" si="7"/>
        <v>141.33450399999998</v>
      </c>
      <c r="J94" s="24">
        <f t="shared" si="10"/>
        <v>102.21864877777777</v>
      </c>
      <c r="K94" s="11">
        <v>12449861.489</v>
      </c>
      <c r="L94" s="11"/>
      <c r="M94" s="11">
        <v>113983.611</v>
      </c>
      <c r="N94" s="13"/>
      <c r="O94" s="13">
        <f>94+87</f>
        <v>181</v>
      </c>
      <c r="P94" s="13">
        <f>290+168</f>
        <v>458</v>
      </c>
      <c r="Q94" s="13">
        <v>57</v>
      </c>
      <c r="R94" s="23">
        <v>6.67</v>
      </c>
      <c r="S94" s="13">
        <v>197</v>
      </c>
      <c r="T94" s="23">
        <v>8.3000000000000007</v>
      </c>
      <c r="U94" s="15" t="s">
        <v>310</v>
      </c>
      <c r="V94" s="15" t="s">
        <v>311</v>
      </c>
      <c r="W94" s="24">
        <v>-11.13</v>
      </c>
      <c r="X94" s="24"/>
      <c r="Y94" s="24"/>
      <c r="Z94" s="24"/>
      <c r="AA94" s="16">
        <v>273741</v>
      </c>
      <c r="AB94" s="17"/>
      <c r="AC94" s="27">
        <f t="shared" si="8"/>
        <v>-1.6809076901526776E-2</v>
      </c>
      <c r="AD94" s="19">
        <v>48611</v>
      </c>
      <c r="AE94" s="20">
        <v>-0.91</v>
      </c>
      <c r="AF94" s="16">
        <v>120530000</v>
      </c>
      <c r="AG94" s="20">
        <v>-1.53</v>
      </c>
      <c r="AH94" s="16">
        <v>11887000</v>
      </c>
      <c r="AI94" s="20">
        <v>-0.95</v>
      </c>
      <c r="AJ94" s="7">
        <f t="shared" si="11"/>
        <v>1573407.03</v>
      </c>
      <c r="AK94" s="27">
        <f t="shared" si="11"/>
        <v>-1.4954401564412079E-3</v>
      </c>
    </row>
    <row r="95" spans="1:37" ht="22.5" x14ac:dyDescent="0.55000000000000004">
      <c r="A95" s="7" t="s">
        <v>312</v>
      </c>
      <c r="B95" s="25">
        <v>0.54652777777777783</v>
      </c>
      <c r="C95" s="7">
        <v>1523969.6</v>
      </c>
      <c r="D95" s="27">
        <f t="shared" si="5"/>
        <v>-3.1420623562359418E-2</v>
      </c>
      <c r="E95" s="7">
        <v>454359</v>
      </c>
      <c r="F95" s="27">
        <f t="shared" si="6"/>
        <v>-2.8140793268241038E-2</v>
      </c>
      <c r="G95" s="9">
        <v>61072263.946000002</v>
      </c>
      <c r="H95" s="9">
        <v>111675.223</v>
      </c>
      <c r="I95" s="24">
        <f t="shared" si="7"/>
        <v>111.675223</v>
      </c>
      <c r="J95" s="24">
        <f t="shared" si="10"/>
        <v>103.64422911111109</v>
      </c>
      <c r="K95" s="11">
        <v>12072020.404999999</v>
      </c>
      <c r="L95" s="11"/>
      <c r="M95" s="11">
        <v>200515.63699999999</v>
      </c>
      <c r="N95" s="13"/>
      <c r="O95" s="13">
        <f>55+62</f>
        <v>117</v>
      </c>
      <c r="P95" s="13">
        <f>329+187</f>
        <v>516</v>
      </c>
      <c r="Q95" s="13">
        <v>45</v>
      </c>
      <c r="R95" s="23">
        <v>5.6</v>
      </c>
      <c r="S95" s="13">
        <v>441</v>
      </c>
      <c r="T95" s="23">
        <v>31.5</v>
      </c>
      <c r="U95" s="15" t="s">
        <v>313</v>
      </c>
      <c r="V95" s="15" t="s">
        <v>314</v>
      </c>
      <c r="W95" s="24">
        <v>-21.71</v>
      </c>
      <c r="X95" s="24"/>
      <c r="Y95" s="24"/>
      <c r="Z95" s="24"/>
      <c r="AA95" s="16">
        <v>263588</v>
      </c>
      <c r="AB95" s="17"/>
      <c r="AC95" s="27">
        <f t="shared" si="8"/>
        <v>-3.7089803865697824E-2</v>
      </c>
      <c r="AD95" s="19">
        <v>48058</v>
      </c>
      <c r="AE95" s="20">
        <v>-1.07</v>
      </c>
      <c r="AF95" s="16">
        <v>117940000</v>
      </c>
      <c r="AG95" s="20">
        <v>-1.64</v>
      </c>
      <c r="AH95" s="16">
        <v>11622000</v>
      </c>
      <c r="AI95" s="20">
        <v>-1.73</v>
      </c>
      <c r="AJ95" s="7">
        <f t="shared" si="11"/>
        <v>1523969.6</v>
      </c>
      <c r="AK95" s="27">
        <f t="shared" si="11"/>
        <v>-3.1420623562359418E-2</v>
      </c>
    </row>
    <row r="96" spans="1:37" ht="22.5" x14ac:dyDescent="0.55000000000000004">
      <c r="A96" s="7" t="s">
        <v>315</v>
      </c>
      <c r="B96" s="25">
        <v>0.55208333333333337</v>
      </c>
      <c r="C96" s="7">
        <v>1496158.98</v>
      </c>
      <c r="D96" s="27">
        <f t="shared" si="5"/>
        <v>-1.8248802338314385E-2</v>
      </c>
      <c r="E96" s="7">
        <v>446893.33</v>
      </c>
      <c r="F96" s="27">
        <f t="shared" si="6"/>
        <v>-1.6431214084017265E-2</v>
      </c>
      <c r="G96" s="9">
        <v>59957119.038999997</v>
      </c>
      <c r="H96" s="9">
        <v>120765.91899999999</v>
      </c>
      <c r="I96" s="24">
        <f t="shared" si="7"/>
        <v>120.765919</v>
      </c>
      <c r="J96" s="24">
        <f t="shared" si="10"/>
        <v>107.00548099999999</v>
      </c>
      <c r="K96" s="11">
        <v>11989539.982000001</v>
      </c>
      <c r="L96" s="11"/>
      <c r="M96" s="11">
        <v>70454.206999999995</v>
      </c>
      <c r="N96" s="13"/>
      <c r="O96" s="13">
        <f>110+100</f>
        <v>210</v>
      </c>
      <c r="P96" s="13">
        <f>151+276</f>
        <v>427</v>
      </c>
      <c r="Q96" s="13">
        <v>76</v>
      </c>
      <c r="R96" s="23">
        <v>7.03</v>
      </c>
      <c r="S96" s="13">
        <v>195</v>
      </c>
      <c r="T96" s="23">
        <v>7.29</v>
      </c>
      <c r="U96" s="15" t="s">
        <v>316</v>
      </c>
      <c r="V96" s="15" t="s">
        <v>317</v>
      </c>
      <c r="W96" s="24">
        <v>-7</v>
      </c>
      <c r="X96" s="24"/>
      <c r="Y96" s="24"/>
      <c r="Z96" s="24"/>
      <c r="AA96" s="16">
        <v>266618</v>
      </c>
      <c r="AB96" s="17"/>
      <c r="AC96" s="27">
        <f t="shared" si="8"/>
        <v>1.1495212225139273E-2</v>
      </c>
      <c r="AD96" s="19">
        <v>47829</v>
      </c>
      <c r="AE96" s="20">
        <v>-0.53</v>
      </c>
      <c r="AF96" s="16">
        <v>119510000</v>
      </c>
      <c r="AG96" s="20">
        <v>1.3</v>
      </c>
      <c r="AH96" s="16">
        <v>11617000</v>
      </c>
      <c r="AI96" s="20">
        <v>0.68</v>
      </c>
      <c r="AJ96" s="7">
        <f t="shared" si="11"/>
        <v>1496158.98</v>
      </c>
      <c r="AK96" s="27">
        <f t="shared" si="11"/>
        <v>-1.8248802338314385E-2</v>
      </c>
    </row>
    <row r="97" spans="1:37" ht="22.5" x14ac:dyDescent="0.55000000000000004">
      <c r="A97" s="7" t="s">
        <v>318</v>
      </c>
      <c r="B97" s="25">
        <v>0.57638888888888895</v>
      </c>
      <c r="C97" s="7">
        <v>1520686.9</v>
      </c>
      <c r="D97" s="27">
        <f t="shared" si="5"/>
        <v>1.6393926265776848E-2</v>
      </c>
      <c r="E97" s="7">
        <v>455375.3</v>
      </c>
      <c r="F97" s="27">
        <f t="shared" si="6"/>
        <v>1.8979853648744216E-2</v>
      </c>
      <c r="G97" s="9">
        <v>60938078.564999998</v>
      </c>
      <c r="H97" s="9">
        <v>97994.907000000007</v>
      </c>
      <c r="I97" s="24">
        <f t="shared" si="7"/>
        <v>97.994907000000012</v>
      </c>
      <c r="J97" s="24">
        <f t="shared" si="10"/>
        <v>109.57581522222222</v>
      </c>
      <c r="K97" s="11">
        <v>12234465.892999999</v>
      </c>
      <c r="L97" s="11"/>
      <c r="M97" s="11">
        <v>101357.27899999999</v>
      </c>
      <c r="N97" s="13"/>
      <c r="O97" s="13">
        <f>348+201</f>
        <v>549</v>
      </c>
      <c r="P97" s="13">
        <f>56+47</f>
        <v>103</v>
      </c>
      <c r="Q97" s="13">
        <v>218</v>
      </c>
      <c r="R97" s="23">
        <v>11.72</v>
      </c>
      <c r="S97" s="13">
        <v>37</v>
      </c>
      <c r="T97" s="23">
        <v>4.25</v>
      </c>
      <c r="U97" s="15" t="s">
        <v>319</v>
      </c>
      <c r="V97" s="15" t="s">
        <v>320</v>
      </c>
      <c r="W97" s="24">
        <v>8.25</v>
      </c>
      <c r="X97" s="24"/>
      <c r="Y97" s="24"/>
      <c r="Z97" s="24"/>
      <c r="AA97" s="16">
        <v>266618</v>
      </c>
      <c r="AB97" s="17"/>
      <c r="AC97" s="27">
        <f t="shared" si="8"/>
        <v>0</v>
      </c>
      <c r="AD97" s="19">
        <v>47530</v>
      </c>
      <c r="AE97" s="20">
        <v>-0.14000000000000001</v>
      </c>
      <c r="AF97" s="16">
        <v>118680000</v>
      </c>
      <c r="AG97" s="20">
        <v>-1.26</v>
      </c>
      <c r="AH97" s="16">
        <v>11550000</v>
      </c>
      <c r="AI97" s="20">
        <v>-0.88</v>
      </c>
      <c r="AJ97" s="7">
        <f t="shared" si="11"/>
        <v>1520686.9</v>
      </c>
      <c r="AK97" s="27">
        <f t="shared" si="11"/>
        <v>1.6393926265776848E-2</v>
      </c>
    </row>
    <row r="98" spans="1:37" ht="22.5" x14ac:dyDescent="0.55000000000000004">
      <c r="A98" s="7" t="s">
        <v>321</v>
      </c>
      <c r="B98" s="25">
        <v>0.54861111111111105</v>
      </c>
      <c r="C98" s="7">
        <v>1541055.43</v>
      </c>
      <c r="D98" s="27">
        <f t="shared" si="5"/>
        <v>1.3394295696240954E-2</v>
      </c>
      <c r="E98" s="7">
        <v>464427.94</v>
      </c>
      <c r="F98" s="27">
        <f t="shared" si="6"/>
        <v>1.9879514765074102E-2</v>
      </c>
      <c r="G98" s="9">
        <v>61757254.697999999</v>
      </c>
      <c r="H98" s="9">
        <v>87943.312000000005</v>
      </c>
      <c r="I98" s="24">
        <f t="shared" si="7"/>
        <v>87.943312000000006</v>
      </c>
      <c r="J98" s="24">
        <f t="shared" si="10"/>
        <v>108.06014099999999</v>
      </c>
      <c r="K98" s="11">
        <v>12416316.511</v>
      </c>
      <c r="L98" s="11"/>
      <c r="M98" s="11">
        <v>98109.365000000005</v>
      </c>
      <c r="N98" s="13"/>
      <c r="O98" s="13">
        <f>301+165</f>
        <v>466</v>
      </c>
      <c r="P98" s="13">
        <f>89+96</f>
        <v>185</v>
      </c>
      <c r="Q98" s="13">
        <v>191</v>
      </c>
      <c r="R98" s="23">
        <v>12.22</v>
      </c>
      <c r="S98" s="13">
        <v>29</v>
      </c>
      <c r="T98" s="23">
        <v>3.4</v>
      </c>
      <c r="U98" s="15" t="s">
        <v>322</v>
      </c>
      <c r="V98" s="15" t="s">
        <v>323</v>
      </c>
      <c r="W98" s="24">
        <v>5.28</v>
      </c>
      <c r="X98" s="24"/>
      <c r="Y98" s="24"/>
      <c r="Z98" s="24"/>
      <c r="AA98" s="16">
        <v>266106</v>
      </c>
      <c r="AB98" s="17"/>
      <c r="AC98" s="27">
        <f t="shared" si="8"/>
        <v>-1.9203504639596636E-3</v>
      </c>
      <c r="AD98" s="19">
        <v>50152</v>
      </c>
      <c r="AE98" s="20">
        <v>1.55</v>
      </c>
      <c r="AF98" s="16">
        <v>119890000</v>
      </c>
      <c r="AG98" s="20">
        <v>0.1</v>
      </c>
      <c r="AH98" s="16">
        <v>11631000</v>
      </c>
      <c r="AI98" s="20">
        <v>0.1</v>
      </c>
      <c r="AJ98" s="7">
        <f t="shared" si="11"/>
        <v>1541055.43</v>
      </c>
      <c r="AK98" s="27">
        <f t="shared" si="11"/>
        <v>1.3394295696240954E-2</v>
      </c>
    </row>
    <row r="99" spans="1:37" ht="22.5" x14ac:dyDescent="0.55000000000000004">
      <c r="A99" s="7" t="s">
        <v>324</v>
      </c>
      <c r="B99" s="25">
        <v>0.54791666666666672</v>
      </c>
      <c r="C99" s="7">
        <v>1537192.9</v>
      </c>
      <c r="D99" s="27">
        <f t="shared" si="5"/>
        <v>-2.5064186042937919E-3</v>
      </c>
      <c r="E99" s="7">
        <v>467016.12</v>
      </c>
      <c r="F99" s="27">
        <f t="shared" si="6"/>
        <v>5.5728343992396123E-3</v>
      </c>
      <c r="G99" s="9">
        <v>61602000.104000002</v>
      </c>
      <c r="H99" s="9">
        <v>86483.9</v>
      </c>
      <c r="I99" s="24">
        <f t="shared" si="7"/>
        <v>86.483899999999991</v>
      </c>
      <c r="J99" s="24">
        <f t="shared" si="10"/>
        <v>107.04285399999999</v>
      </c>
      <c r="K99" s="11">
        <v>12389803.527000001</v>
      </c>
      <c r="L99" s="11"/>
      <c r="M99" s="11">
        <v>110101.701</v>
      </c>
      <c r="N99" s="13"/>
      <c r="O99" s="13">
        <f>228+159</f>
        <v>387</v>
      </c>
      <c r="P99" s="13">
        <f>153+105</f>
        <v>258</v>
      </c>
      <c r="Q99" s="13">
        <v>172</v>
      </c>
      <c r="R99" s="23">
        <v>11.61</v>
      </c>
      <c r="S99" s="13">
        <v>33</v>
      </c>
      <c r="T99" s="23">
        <v>4.8</v>
      </c>
      <c r="U99" s="15" t="s">
        <v>325</v>
      </c>
      <c r="V99" s="15" t="s">
        <v>326</v>
      </c>
      <c r="W99" s="24">
        <v>2.65</v>
      </c>
      <c r="X99" s="24"/>
      <c r="Y99" s="24"/>
      <c r="Z99" s="24"/>
      <c r="AA99" s="16">
        <v>266869</v>
      </c>
      <c r="AB99" s="17"/>
      <c r="AC99" s="27">
        <f t="shared" si="8"/>
        <v>2.8672784529473194E-3</v>
      </c>
      <c r="AD99" s="19">
        <v>49978</v>
      </c>
      <c r="AE99" s="20">
        <v>-0.38</v>
      </c>
      <c r="AF99" s="16">
        <v>121180000</v>
      </c>
      <c r="AG99" s="20">
        <v>1.17</v>
      </c>
      <c r="AH99" s="16">
        <v>11749000</v>
      </c>
      <c r="AI99" s="20">
        <v>1.0900000000000001</v>
      </c>
      <c r="AJ99" s="7">
        <f t="shared" si="11"/>
        <v>1537192.9</v>
      </c>
      <c r="AK99" s="27">
        <f t="shared" si="11"/>
        <v>-2.5064186042937919E-3</v>
      </c>
    </row>
    <row r="100" spans="1:37" ht="22.5" x14ac:dyDescent="0.55000000000000004">
      <c r="A100" s="7" t="s">
        <v>327</v>
      </c>
      <c r="B100" s="25">
        <v>0.5541666666666667</v>
      </c>
      <c r="C100" s="7">
        <v>1538484.5</v>
      </c>
      <c r="D100" s="27">
        <f t="shared" si="5"/>
        <v>8.4023286862699997E-4</v>
      </c>
      <c r="E100" s="7">
        <v>469607</v>
      </c>
      <c r="F100" s="27">
        <f t="shared" si="6"/>
        <v>5.5477314144960488E-3</v>
      </c>
      <c r="G100" s="9">
        <v>61653795.649999999</v>
      </c>
      <c r="H100" s="9">
        <v>93373.725999999995</v>
      </c>
      <c r="I100" s="24">
        <f t="shared" si="7"/>
        <v>93.373725999999991</v>
      </c>
      <c r="J100" s="24">
        <f t="shared" si="10"/>
        <v>107.10906755555555</v>
      </c>
      <c r="K100" s="11">
        <v>12428645.673</v>
      </c>
      <c r="L100" s="11"/>
      <c r="M100" s="11">
        <v>161710.245</v>
      </c>
      <c r="N100" s="13"/>
      <c r="O100" s="13">
        <f>144+111</f>
        <v>255</v>
      </c>
      <c r="P100" s="13">
        <f>142+246</f>
        <v>388</v>
      </c>
      <c r="Q100" s="13">
        <v>73</v>
      </c>
      <c r="R100" s="23">
        <v>6.6</v>
      </c>
      <c r="S100" s="13">
        <v>88</v>
      </c>
      <c r="T100" s="23">
        <v>4.2</v>
      </c>
      <c r="U100" s="15" t="s">
        <v>328</v>
      </c>
      <c r="V100" s="15" t="s">
        <v>329</v>
      </c>
      <c r="W100" s="24">
        <v>0.32</v>
      </c>
      <c r="X100" s="24"/>
      <c r="Y100" s="24"/>
      <c r="Z100" s="24"/>
      <c r="AA100" s="16">
        <v>266869</v>
      </c>
      <c r="AB100" s="17"/>
      <c r="AC100" s="27">
        <f t="shared" si="8"/>
        <v>0</v>
      </c>
      <c r="AD100" s="19">
        <v>51699</v>
      </c>
      <c r="AE100" s="20">
        <v>3.2</v>
      </c>
      <c r="AF100" s="16">
        <v>120510000</v>
      </c>
      <c r="AG100" s="20">
        <v>-0.28999999999999998</v>
      </c>
      <c r="AH100" s="16">
        <v>11659000</v>
      </c>
      <c r="AI100" s="20">
        <v>-0.27</v>
      </c>
      <c r="AJ100" s="7">
        <f t="shared" si="11"/>
        <v>1538484.5</v>
      </c>
      <c r="AK100" s="27">
        <f t="shared" si="11"/>
        <v>8.4023286862699997E-4</v>
      </c>
    </row>
    <row r="101" spans="1:37" ht="22.5" x14ac:dyDescent="0.55000000000000004">
      <c r="A101" s="7" t="s">
        <v>330</v>
      </c>
      <c r="B101" s="25">
        <v>0.51388888888888895</v>
      </c>
      <c r="C101" s="7">
        <v>1523085.89</v>
      </c>
      <c r="D101" s="27">
        <f t="shared" si="5"/>
        <v>-1.0008947116464384E-2</v>
      </c>
      <c r="E101" s="7">
        <v>465352.42</v>
      </c>
      <c r="F101" s="27">
        <f t="shared" si="6"/>
        <v>-9.0598734686664351E-3</v>
      </c>
      <c r="G101" s="9">
        <v>61036551.914999999</v>
      </c>
      <c r="H101" s="9">
        <v>82503.164999999994</v>
      </c>
      <c r="I101" s="24">
        <f t="shared" si="7"/>
        <v>82.503164999999996</v>
      </c>
      <c r="J101" s="24">
        <f t="shared" si="10"/>
        <v>104.05361588888888</v>
      </c>
      <c r="K101" s="11">
        <v>12374522.705</v>
      </c>
      <c r="L101" s="11"/>
      <c r="M101" s="11">
        <v>88807.547999999995</v>
      </c>
      <c r="N101" s="13"/>
      <c r="O101" s="13">
        <f>104+83</f>
        <v>187</v>
      </c>
      <c r="P101" s="13">
        <f>290+165</f>
        <v>455</v>
      </c>
      <c r="Q101" s="13">
        <v>78</v>
      </c>
      <c r="R101" s="23">
        <v>5.9</v>
      </c>
      <c r="S101" s="13">
        <v>113</v>
      </c>
      <c r="T101" s="23">
        <v>3.4</v>
      </c>
      <c r="U101" s="15" t="s">
        <v>331</v>
      </c>
      <c r="V101" s="15" t="s">
        <v>332</v>
      </c>
      <c r="W101" s="24">
        <v>-0.79</v>
      </c>
      <c r="X101" s="24"/>
      <c r="Y101" s="24"/>
      <c r="Z101" s="24"/>
      <c r="AA101" s="16">
        <v>267374</v>
      </c>
      <c r="AB101" s="17"/>
      <c r="AC101" s="27">
        <f t="shared" si="8"/>
        <v>1.8923142065956355E-3</v>
      </c>
      <c r="AD101" s="19">
        <v>52314</v>
      </c>
      <c r="AE101" s="20">
        <v>1.07</v>
      </c>
      <c r="AF101" s="16">
        <v>120910000</v>
      </c>
      <c r="AG101" s="20">
        <v>0.27</v>
      </c>
      <c r="AH101" s="16">
        <v>11700000</v>
      </c>
      <c r="AI101" s="20">
        <v>0.33</v>
      </c>
      <c r="AJ101" s="7">
        <f t="shared" si="11"/>
        <v>1523085.89</v>
      </c>
      <c r="AK101" s="27">
        <f t="shared" si="11"/>
        <v>-1.0008947116464384E-2</v>
      </c>
    </row>
    <row r="102" spans="1:37" ht="22.5" x14ac:dyDescent="0.55000000000000004">
      <c r="A102" s="7" t="s">
        <v>333</v>
      </c>
      <c r="B102" s="25">
        <v>0.55208333333333337</v>
      </c>
      <c r="C102" s="7">
        <v>1526008.3</v>
      </c>
      <c r="D102" s="27">
        <f t="shared" si="5"/>
        <v>1.9187427440485738E-3</v>
      </c>
      <c r="E102" s="7">
        <v>466098</v>
      </c>
      <c r="F102" s="27">
        <f t="shared" si="6"/>
        <v>1.6021835665966933E-3</v>
      </c>
      <c r="G102" s="9">
        <v>61158260.174999997</v>
      </c>
      <c r="H102" s="9">
        <v>70652.577999999994</v>
      </c>
      <c r="I102" s="24">
        <f t="shared" si="7"/>
        <v>70.652577999999991</v>
      </c>
      <c r="J102" s="24">
        <f t="shared" si="10"/>
        <v>99.191914888888888</v>
      </c>
      <c r="K102" s="11">
        <v>12430540.858999999</v>
      </c>
      <c r="L102" s="11"/>
      <c r="M102" s="11">
        <v>73428.880999999994</v>
      </c>
      <c r="N102" s="13"/>
      <c r="O102" s="13">
        <f>212+123</f>
        <v>335</v>
      </c>
      <c r="P102" s="13">
        <f>176+131</f>
        <v>307</v>
      </c>
      <c r="Q102" s="13">
        <v>94</v>
      </c>
      <c r="R102" s="23">
        <v>4.2</v>
      </c>
      <c r="S102" s="13">
        <v>63</v>
      </c>
      <c r="T102" s="23">
        <v>3.1</v>
      </c>
      <c r="U102" s="15" t="s">
        <v>334</v>
      </c>
      <c r="V102" s="15" t="s">
        <v>335</v>
      </c>
      <c r="W102" s="24">
        <v>-2.58</v>
      </c>
      <c r="X102" s="24"/>
      <c r="Y102" s="24"/>
      <c r="Z102" s="24"/>
      <c r="AA102" s="16">
        <v>268004</v>
      </c>
      <c r="AB102" s="17"/>
      <c r="AC102" s="27">
        <f t="shared" si="8"/>
        <v>2.3562500467508851E-3</v>
      </c>
      <c r="AD102" s="19">
        <v>44772</v>
      </c>
      <c r="AE102" s="20">
        <v>-13.57</v>
      </c>
      <c r="AF102" s="16">
        <v>121820000</v>
      </c>
      <c r="AG102" s="20">
        <v>0.56999999999999995</v>
      </c>
      <c r="AH102" s="16">
        <v>11802000</v>
      </c>
      <c r="AI102" s="20">
        <v>1.03</v>
      </c>
      <c r="AJ102" s="7">
        <f t="shared" si="11"/>
        <v>1526008.3</v>
      </c>
      <c r="AK102" s="27">
        <f t="shared" si="11"/>
        <v>1.9187427440485738E-3</v>
      </c>
    </row>
    <row r="103" spans="1:37" ht="22.5" x14ac:dyDescent="0.55000000000000004">
      <c r="A103" s="7" t="s">
        <v>336</v>
      </c>
      <c r="B103" s="25">
        <v>0.52083333333333337</v>
      </c>
      <c r="C103" s="7">
        <v>1530521.19</v>
      </c>
      <c r="D103" s="27">
        <f t="shared" si="5"/>
        <v>2.9573168114485071E-3</v>
      </c>
      <c r="E103" s="7">
        <v>463345.46</v>
      </c>
      <c r="F103" s="27">
        <f t="shared" si="6"/>
        <v>-5.9054962690249235E-3</v>
      </c>
      <c r="G103" s="9">
        <v>61371546.413000003</v>
      </c>
      <c r="H103" s="9">
        <v>67170.226999999999</v>
      </c>
      <c r="I103" s="24">
        <f t="shared" si="7"/>
        <v>67.170226999999997</v>
      </c>
      <c r="J103" s="24">
        <f t="shared" si="10"/>
        <v>90.951439666666658</v>
      </c>
      <c r="K103" s="11">
        <v>12453797.444</v>
      </c>
      <c r="L103" s="11"/>
      <c r="M103" s="11">
        <v>105960.80899999999</v>
      </c>
      <c r="N103" s="13"/>
      <c r="O103" s="13">
        <f>126+93</f>
        <v>219</v>
      </c>
      <c r="P103" s="13">
        <f>264+143</f>
        <v>407</v>
      </c>
      <c r="Q103" s="13">
        <v>73</v>
      </c>
      <c r="R103" s="23">
        <v>9.4</v>
      </c>
      <c r="S103" s="13">
        <v>135</v>
      </c>
      <c r="T103" s="23">
        <v>4.8</v>
      </c>
      <c r="U103" s="15" t="s">
        <v>337</v>
      </c>
      <c r="V103" s="15" t="s">
        <v>338</v>
      </c>
      <c r="W103" s="24">
        <v>-4.1900000000000004</v>
      </c>
      <c r="X103" s="24"/>
      <c r="Y103" s="24"/>
      <c r="Z103" s="24"/>
      <c r="AA103" s="16">
        <v>270210</v>
      </c>
      <c r="AB103" s="17"/>
      <c r="AC103" s="27">
        <f t="shared" si="8"/>
        <v>8.2312204295458269E-3</v>
      </c>
      <c r="AD103" s="19">
        <v>44950</v>
      </c>
      <c r="AE103" s="20">
        <v>-2.64</v>
      </c>
      <c r="AF103" s="16">
        <v>121670000</v>
      </c>
      <c r="AG103" s="20">
        <v>-0.21</v>
      </c>
      <c r="AH103" s="16">
        <v>11786000</v>
      </c>
      <c r="AI103" s="20">
        <v>-0.42</v>
      </c>
      <c r="AJ103" s="7">
        <f t="shared" si="11"/>
        <v>1530521.19</v>
      </c>
      <c r="AK103" s="27">
        <f t="shared" si="11"/>
        <v>2.9573168114485071E-3</v>
      </c>
    </row>
    <row r="104" spans="1:37" ht="22.5" x14ac:dyDescent="0.55000000000000004">
      <c r="A104" s="7" t="s">
        <v>339</v>
      </c>
      <c r="B104" s="25">
        <v>0.5625</v>
      </c>
      <c r="C104" s="7">
        <v>1490000</v>
      </c>
      <c r="D104" s="27">
        <f t="shared" si="5"/>
        <v>-2.6475419134837308E-2</v>
      </c>
      <c r="E104" s="7">
        <v>450059.52000000002</v>
      </c>
      <c r="F104" s="27">
        <f t="shared" si="6"/>
        <v>-2.8673940174141377E-2</v>
      </c>
      <c r="G104" s="9">
        <v>59748219.700000003</v>
      </c>
      <c r="H104" s="9">
        <v>61285.94</v>
      </c>
      <c r="I104" s="24">
        <f t="shared" si="7"/>
        <v>61.285940000000004</v>
      </c>
      <c r="J104" s="24">
        <f t="shared" si="10"/>
        <v>85.352630444444429</v>
      </c>
      <c r="K104" s="11">
        <v>12360403.4</v>
      </c>
      <c r="L104" s="11"/>
      <c r="M104" s="11">
        <v>98231.8</v>
      </c>
      <c r="N104" s="13"/>
      <c r="O104" s="13">
        <f>56+68</f>
        <v>124</v>
      </c>
      <c r="P104" s="13">
        <f>330+181</f>
        <v>511</v>
      </c>
      <c r="Q104" s="13">
        <v>46</v>
      </c>
      <c r="R104" s="23">
        <v>12.4</v>
      </c>
      <c r="S104" s="13">
        <v>269</v>
      </c>
      <c r="T104" s="23">
        <v>8.5</v>
      </c>
      <c r="U104" s="15"/>
      <c r="V104" s="15"/>
      <c r="W104" s="24">
        <v>-14.56</v>
      </c>
      <c r="X104" s="24"/>
      <c r="Y104" s="24"/>
      <c r="Z104" s="24"/>
      <c r="AA104" s="16">
        <v>269772</v>
      </c>
      <c r="AB104" s="17"/>
      <c r="AC104" s="27">
        <f t="shared" si="8"/>
        <v>-1.6209614744088219E-3</v>
      </c>
      <c r="AD104" s="19"/>
      <c r="AE104" s="20"/>
      <c r="AF104" s="16"/>
      <c r="AG104" s="20"/>
      <c r="AH104" s="16"/>
      <c r="AI104" s="20"/>
      <c r="AJ104" s="7">
        <f t="shared" si="11"/>
        <v>1490000</v>
      </c>
      <c r="AK104" s="27">
        <f t="shared" si="11"/>
        <v>-2.6475419134837308E-2</v>
      </c>
    </row>
    <row r="105" spans="1:37" ht="22.5" x14ac:dyDescent="0.55000000000000004">
      <c r="A105" s="7" t="s">
        <v>340</v>
      </c>
      <c r="B105" s="25">
        <v>0.53472222222222221</v>
      </c>
      <c r="C105" s="7">
        <v>1475273.83</v>
      </c>
      <c r="D105" s="27">
        <f t="shared" si="5"/>
        <v>-9.8833355704697201E-3</v>
      </c>
      <c r="E105" s="7">
        <v>444006.05</v>
      </c>
      <c r="F105" s="27">
        <f t="shared" si="6"/>
        <v>-1.3450376519087981E-2</v>
      </c>
      <c r="G105" s="9">
        <v>59156643.755000003</v>
      </c>
      <c r="H105" s="9">
        <v>63330.495999999999</v>
      </c>
      <c r="I105" s="24">
        <f t="shared" si="7"/>
        <v>63.330495999999997</v>
      </c>
      <c r="J105" s="24">
        <f t="shared" si="10"/>
        <v>78.970916777777759</v>
      </c>
      <c r="K105" s="11">
        <v>12299699.34</v>
      </c>
      <c r="L105" s="11">
        <v>3866276.6770000001</v>
      </c>
      <c r="M105" s="11">
        <v>168831.12</v>
      </c>
      <c r="N105" s="13"/>
      <c r="O105" s="13">
        <f>142+75</f>
        <v>217</v>
      </c>
      <c r="P105" s="13">
        <f>261+180</f>
        <v>441</v>
      </c>
      <c r="Q105" s="13">
        <v>74</v>
      </c>
      <c r="R105" s="23">
        <v>12.4</v>
      </c>
      <c r="S105" s="13">
        <v>154</v>
      </c>
      <c r="T105" s="23">
        <v>3.8</v>
      </c>
      <c r="U105" s="15" t="s">
        <v>341</v>
      </c>
      <c r="V105" s="15" t="s">
        <v>342</v>
      </c>
      <c r="W105" s="24">
        <v>-5.54</v>
      </c>
      <c r="X105" s="24"/>
      <c r="Y105" s="24"/>
      <c r="Z105" s="24"/>
      <c r="AA105" s="16">
        <v>264406</v>
      </c>
      <c r="AB105" s="17">
        <f t="shared" ref="AB105:AB168" si="12">(L105+K105+G105)/AA105</f>
        <v>284.8748506917392</v>
      </c>
      <c r="AC105" s="27">
        <f t="shared" si="8"/>
        <v>-1.9890870809424199E-2</v>
      </c>
      <c r="AD105" s="19">
        <v>44251</v>
      </c>
      <c r="AE105" s="20">
        <v>-3.21</v>
      </c>
      <c r="AF105" s="16">
        <v>119170000</v>
      </c>
      <c r="AG105" s="20">
        <v>-0.56000000000000005</v>
      </c>
      <c r="AH105" s="16">
        <v>11462000</v>
      </c>
      <c r="AI105" s="20">
        <v>-0.97</v>
      </c>
      <c r="AJ105" s="7">
        <f t="shared" si="11"/>
        <v>1475273.83</v>
      </c>
      <c r="AK105" s="27">
        <f t="shared" si="11"/>
        <v>-9.8833355704697201E-3</v>
      </c>
    </row>
    <row r="106" spans="1:37" ht="22.5" x14ac:dyDescent="0.55000000000000004">
      <c r="A106" s="7" t="s">
        <v>343</v>
      </c>
      <c r="B106" s="25">
        <v>0.56597222222222221</v>
      </c>
      <c r="C106" s="7">
        <v>1496954.83</v>
      </c>
      <c r="D106" s="27">
        <f t="shared" si="5"/>
        <v>1.4696254728520541E-2</v>
      </c>
      <c r="E106" s="7">
        <v>451913.7</v>
      </c>
      <c r="F106" s="27">
        <f t="shared" si="6"/>
        <v>1.7809779844216056E-2</v>
      </c>
      <c r="G106" s="9">
        <v>60028130.252999999</v>
      </c>
      <c r="H106" s="9">
        <v>61006.760999999999</v>
      </c>
      <c r="I106" s="24">
        <f t="shared" si="7"/>
        <v>61.006760999999997</v>
      </c>
      <c r="J106" s="24">
        <f t="shared" si="10"/>
        <v>74.86112277777778</v>
      </c>
      <c r="K106" s="11">
        <v>12388735.512</v>
      </c>
      <c r="L106" s="11">
        <v>3872886.773</v>
      </c>
      <c r="M106" s="11">
        <v>107201.159</v>
      </c>
      <c r="N106" s="13"/>
      <c r="O106" s="13">
        <f>306+174</f>
        <v>480</v>
      </c>
      <c r="P106" s="13">
        <f>93+75</f>
        <v>168</v>
      </c>
      <c r="Q106" s="13">
        <v>151</v>
      </c>
      <c r="R106" s="23">
        <v>14.2</v>
      </c>
      <c r="S106" s="13">
        <v>42</v>
      </c>
      <c r="T106" s="23">
        <v>2.1</v>
      </c>
      <c r="U106" s="15" t="s">
        <v>344</v>
      </c>
      <c r="V106" s="15" t="s">
        <v>345</v>
      </c>
      <c r="W106" s="24">
        <v>3.22</v>
      </c>
      <c r="X106" s="24"/>
      <c r="Y106" s="24"/>
      <c r="Z106" s="24"/>
      <c r="AA106" s="16">
        <v>268117</v>
      </c>
      <c r="AB106" s="17">
        <f t="shared" si="12"/>
        <v>284.53903533904975</v>
      </c>
      <c r="AC106" s="27">
        <f t="shared" si="8"/>
        <v>1.4035233693637794E-2</v>
      </c>
      <c r="AD106" s="19">
        <v>46034</v>
      </c>
      <c r="AE106" s="20">
        <v>3.52</v>
      </c>
      <c r="AF106" s="16">
        <v>119280000</v>
      </c>
      <c r="AG106" s="20">
        <v>-0.32</v>
      </c>
      <c r="AH106" s="16">
        <v>11534000</v>
      </c>
      <c r="AI106" s="20">
        <v>-0.22</v>
      </c>
      <c r="AJ106" s="7">
        <f t="shared" si="11"/>
        <v>1496954.83</v>
      </c>
      <c r="AK106" s="27">
        <f t="shared" si="11"/>
        <v>1.4696254728520541E-2</v>
      </c>
    </row>
    <row r="107" spans="1:37" ht="22.5" x14ac:dyDescent="0.55000000000000004">
      <c r="A107" s="7" t="s">
        <v>346</v>
      </c>
      <c r="B107" s="25">
        <v>0.5708333333333333</v>
      </c>
      <c r="C107" s="7">
        <v>1488212.7</v>
      </c>
      <c r="D107" s="27">
        <f t="shared" si="5"/>
        <v>-5.8399424116224452E-3</v>
      </c>
      <c r="E107" s="7">
        <v>450459.87</v>
      </c>
      <c r="F107" s="27">
        <f t="shared" si="6"/>
        <v>-3.2170522823273817E-3</v>
      </c>
      <c r="G107" s="9">
        <v>59677587.255999997</v>
      </c>
      <c r="H107" s="9">
        <v>55233.194000000003</v>
      </c>
      <c r="I107" s="24">
        <f t="shared" si="7"/>
        <v>55.233194000000005</v>
      </c>
      <c r="J107" s="24">
        <f t="shared" si="10"/>
        <v>71.226665222222223</v>
      </c>
      <c r="K107" s="11">
        <v>12250934.885</v>
      </c>
      <c r="L107" s="11">
        <v>3870463.3259999999</v>
      </c>
      <c r="M107" s="11">
        <v>299777.34600000002</v>
      </c>
      <c r="N107" s="13"/>
      <c r="O107" s="13">
        <f>140+106</f>
        <v>246</v>
      </c>
      <c r="P107" s="13">
        <f>255+166</f>
        <v>421</v>
      </c>
      <c r="Q107" s="13">
        <v>95</v>
      </c>
      <c r="R107" s="23">
        <v>10.5</v>
      </c>
      <c r="S107" s="13">
        <v>71</v>
      </c>
      <c r="T107" s="23">
        <v>2.7</v>
      </c>
      <c r="U107" s="15" t="s">
        <v>347</v>
      </c>
      <c r="V107" s="15" t="s">
        <v>348</v>
      </c>
      <c r="W107" s="24">
        <v>-4.34</v>
      </c>
      <c r="X107" s="24"/>
      <c r="Y107" s="24"/>
      <c r="Z107" s="24"/>
      <c r="AA107" s="16">
        <v>267612</v>
      </c>
      <c r="AB107" s="17">
        <f t="shared" si="12"/>
        <v>283.24210224877805</v>
      </c>
      <c r="AC107" s="27">
        <f t="shared" si="8"/>
        <v>-1.8835060813002791E-3</v>
      </c>
      <c r="AD107" s="19">
        <v>47201</v>
      </c>
      <c r="AE107" s="20">
        <v>2.5299999999999998</v>
      </c>
      <c r="AF107" s="16">
        <v>119480000</v>
      </c>
      <c r="AG107" s="20">
        <v>-0.99</v>
      </c>
      <c r="AH107" s="16">
        <v>11596000</v>
      </c>
      <c r="AI107" s="20">
        <v>-0.62</v>
      </c>
      <c r="AJ107" s="7">
        <f t="shared" si="11"/>
        <v>1488212.7</v>
      </c>
      <c r="AK107" s="27">
        <f t="shared" si="11"/>
        <v>-5.8399424116224452E-3</v>
      </c>
    </row>
    <row r="108" spans="1:37" ht="22.5" x14ac:dyDescent="0.55000000000000004">
      <c r="A108" s="7" t="s">
        <v>349</v>
      </c>
      <c r="B108" s="25">
        <v>0.55208333333333337</v>
      </c>
      <c r="C108" s="7">
        <v>1450221.36</v>
      </c>
      <c r="D108" s="27">
        <f t="shared" si="5"/>
        <v>-2.5528165429578586E-2</v>
      </c>
      <c r="E108" s="7">
        <v>439933.02</v>
      </c>
      <c r="F108" s="27">
        <f t="shared" si="6"/>
        <v>-2.3369118319019111E-2</v>
      </c>
      <c r="G108" s="9">
        <v>58275816.949000001</v>
      </c>
      <c r="H108" s="9">
        <v>73110.107999999993</v>
      </c>
      <c r="I108" s="24">
        <f t="shared" si="7"/>
        <v>73.110107999999997</v>
      </c>
      <c r="J108" s="24">
        <f t="shared" si="10"/>
        <v>69.740688333333324</v>
      </c>
      <c r="K108" s="11">
        <v>11970828.76</v>
      </c>
      <c r="L108" s="11">
        <v>3865366.1359999999</v>
      </c>
      <c r="M108" s="11">
        <v>199375.77900000001</v>
      </c>
      <c r="N108" s="13"/>
      <c r="O108" s="13">
        <f>66+92</f>
        <v>158</v>
      </c>
      <c r="P108" s="13">
        <f>321+174</f>
        <v>495</v>
      </c>
      <c r="Q108" s="13">
        <v>55</v>
      </c>
      <c r="R108" s="23">
        <v>12.28</v>
      </c>
      <c r="S108" s="13">
        <v>255</v>
      </c>
      <c r="T108" s="23">
        <v>6.8</v>
      </c>
      <c r="U108" s="15" t="s">
        <v>350</v>
      </c>
      <c r="V108" s="15" t="s">
        <v>351</v>
      </c>
      <c r="W108" s="24">
        <v>-8.6999999999999993</v>
      </c>
      <c r="X108" s="24"/>
      <c r="Y108" s="24"/>
      <c r="Z108" s="24"/>
      <c r="AA108" s="16">
        <v>268715</v>
      </c>
      <c r="AB108" s="17">
        <f t="shared" si="12"/>
        <v>275.80154381035669</v>
      </c>
      <c r="AC108" s="27">
        <f t="shared" si="8"/>
        <v>4.1216387904876584E-3</v>
      </c>
      <c r="AD108" s="19">
        <v>48702</v>
      </c>
      <c r="AE108" s="20">
        <v>1.53</v>
      </c>
      <c r="AF108" s="16">
        <v>118670000</v>
      </c>
      <c r="AG108" s="20">
        <v>-0.17</v>
      </c>
      <c r="AH108" s="16">
        <v>11439000</v>
      </c>
      <c r="AI108" s="20">
        <v>-0.67</v>
      </c>
      <c r="AJ108" s="7">
        <f t="shared" si="11"/>
        <v>1450221.36</v>
      </c>
      <c r="AK108" s="27">
        <f t="shared" si="11"/>
        <v>-2.5528165429578586E-2</v>
      </c>
    </row>
    <row r="109" spans="1:37" ht="22.5" x14ac:dyDescent="0.55000000000000004">
      <c r="A109" s="7" t="s">
        <v>352</v>
      </c>
      <c r="B109" s="25">
        <v>0.55555555555555558</v>
      </c>
      <c r="C109" s="7">
        <v>1420483.88</v>
      </c>
      <c r="D109" s="27">
        <f t="shared" si="5"/>
        <v>-2.0505476488086094E-2</v>
      </c>
      <c r="E109" s="7">
        <v>431002.42</v>
      </c>
      <c r="F109" s="27">
        <f t="shared" si="6"/>
        <v>-2.0299908381507747E-2</v>
      </c>
      <c r="G109" s="9">
        <v>57080160.354000002</v>
      </c>
      <c r="H109" s="9">
        <v>53597.661</v>
      </c>
      <c r="I109" s="24">
        <f t="shared" si="7"/>
        <v>53.597661000000002</v>
      </c>
      <c r="J109" s="24">
        <f t="shared" si="10"/>
        <v>65.321125555555554</v>
      </c>
      <c r="K109" s="11">
        <v>11791387.761</v>
      </c>
      <c r="L109" s="11">
        <v>3848598.6740000001</v>
      </c>
      <c r="M109" s="11">
        <v>141993.049</v>
      </c>
      <c r="N109" s="13"/>
      <c r="O109" s="13">
        <f>72+77</f>
        <v>149</v>
      </c>
      <c r="P109" s="13">
        <f>319+183</f>
        <v>502</v>
      </c>
      <c r="Q109" s="13">
        <v>49</v>
      </c>
      <c r="R109" s="23">
        <v>11.3</v>
      </c>
      <c r="S109" s="13">
        <v>210</v>
      </c>
      <c r="T109" s="23">
        <v>6.9</v>
      </c>
      <c r="U109" s="15" t="s">
        <v>353</v>
      </c>
      <c r="V109" s="15" t="s">
        <v>354</v>
      </c>
      <c r="W109" s="24">
        <v>-9.2200000000000006</v>
      </c>
      <c r="X109" s="24"/>
      <c r="Y109" s="24"/>
      <c r="Z109" s="24"/>
      <c r="AA109" s="16">
        <v>267205</v>
      </c>
      <c r="AB109" s="17">
        <f t="shared" si="12"/>
        <v>272.15114533410679</v>
      </c>
      <c r="AC109" s="27">
        <f t="shared" si="8"/>
        <v>-5.6193364717265215E-3</v>
      </c>
      <c r="AD109" s="19">
        <v>48203</v>
      </c>
      <c r="AE109" s="20">
        <v>-0.83</v>
      </c>
      <c r="AF109" s="16">
        <v>117670000</v>
      </c>
      <c r="AG109" s="20">
        <v>0.11</v>
      </c>
      <c r="AH109" s="16">
        <v>11310000</v>
      </c>
      <c r="AI109" s="20">
        <v>0.06</v>
      </c>
      <c r="AJ109" s="7">
        <f t="shared" si="11"/>
        <v>1420483.88</v>
      </c>
      <c r="AK109" s="27">
        <f t="shared" si="11"/>
        <v>-2.0505476488086094E-2</v>
      </c>
    </row>
    <row r="110" spans="1:37" ht="22.5" x14ac:dyDescent="0.55000000000000004">
      <c r="A110" s="7" t="s">
        <v>355</v>
      </c>
      <c r="B110" s="25">
        <v>0.55902777777777779</v>
      </c>
      <c r="C110" s="7">
        <v>1427758.5</v>
      </c>
      <c r="D110" s="27">
        <f t="shared" si="5"/>
        <v>5.1212267188840421E-3</v>
      </c>
      <c r="E110" s="7">
        <v>432611.69</v>
      </c>
      <c r="F110" s="27">
        <f t="shared" si="6"/>
        <v>3.7337841397735438E-3</v>
      </c>
      <c r="G110" s="9">
        <v>57373385.126999997</v>
      </c>
      <c r="H110" s="9">
        <v>43364.934999999998</v>
      </c>
      <c r="I110" s="24">
        <f t="shared" si="7"/>
        <v>43.364934999999996</v>
      </c>
      <c r="J110" s="24">
        <f t="shared" si="10"/>
        <v>60.972433333333328</v>
      </c>
      <c r="K110" s="11">
        <v>11802392.630000001</v>
      </c>
      <c r="L110" s="11">
        <v>3822768.577</v>
      </c>
      <c r="M110" s="11">
        <v>44219.77</v>
      </c>
      <c r="N110" s="13"/>
      <c r="O110" s="13">
        <f>197+145</f>
        <v>342</v>
      </c>
      <c r="P110" s="13">
        <f>185+112</f>
        <v>297</v>
      </c>
      <c r="Q110" s="13">
        <v>94</v>
      </c>
      <c r="R110" s="23">
        <v>11.71</v>
      </c>
      <c r="S110" s="13">
        <v>105</v>
      </c>
      <c r="T110" s="23">
        <v>4.3</v>
      </c>
      <c r="U110" s="15" t="s">
        <v>356</v>
      </c>
      <c r="V110" s="15" t="s">
        <v>357</v>
      </c>
      <c r="W110" s="24">
        <v>-3.07</v>
      </c>
      <c r="X110" s="24"/>
      <c r="Y110" s="24"/>
      <c r="Z110" s="24"/>
      <c r="AA110" s="16">
        <v>265690</v>
      </c>
      <c r="AB110" s="17">
        <f t="shared" si="12"/>
        <v>274.7508236440965</v>
      </c>
      <c r="AC110" s="27">
        <f t="shared" si="8"/>
        <v>-5.6698040830074348E-3</v>
      </c>
      <c r="AD110" s="19">
        <v>44902</v>
      </c>
      <c r="AE110" s="20">
        <v>-6.49</v>
      </c>
      <c r="AF110" s="16">
        <v>118030000</v>
      </c>
      <c r="AG110" s="20">
        <v>-0.33</v>
      </c>
      <c r="AH110" s="16">
        <v>11301000</v>
      </c>
      <c r="AI110" s="20">
        <v>-0.31</v>
      </c>
      <c r="AJ110" s="7">
        <f t="shared" si="11"/>
        <v>1427758.5</v>
      </c>
      <c r="AK110" s="27">
        <f t="shared" si="11"/>
        <v>5.1212267188840421E-3</v>
      </c>
    </row>
    <row r="111" spans="1:37" ht="22.5" x14ac:dyDescent="0.55000000000000004">
      <c r="A111" s="7" t="s">
        <v>358</v>
      </c>
      <c r="B111" s="25">
        <v>0.55208333333333337</v>
      </c>
      <c r="C111" s="7">
        <v>1391238.63</v>
      </c>
      <c r="D111" s="27">
        <f t="shared" si="5"/>
        <v>-2.5578464425181191E-2</v>
      </c>
      <c r="E111" s="7">
        <v>421521.66</v>
      </c>
      <c r="F111" s="27">
        <f t="shared" si="6"/>
        <v>-2.5635067790239385E-2</v>
      </c>
      <c r="G111" s="9">
        <v>55906076.957999997</v>
      </c>
      <c r="H111" s="9">
        <v>53647.828999999998</v>
      </c>
      <c r="I111" s="24">
        <f t="shared" si="7"/>
        <v>53.647828999999994</v>
      </c>
      <c r="J111" s="24">
        <f t="shared" si="10"/>
        <v>59.083016777777772</v>
      </c>
      <c r="K111" s="11">
        <v>11556401.949999999</v>
      </c>
      <c r="L111" s="11">
        <v>3786570.1529999999</v>
      </c>
      <c r="M111" s="11">
        <v>164418.30799999999</v>
      </c>
      <c r="N111" s="13"/>
      <c r="O111" s="13">
        <f>63+87</f>
        <v>150</v>
      </c>
      <c r="P111" s="13">
        <f>334+175</f>
        <v>509</v>
      </c>
      <c r="Q111" s="13">
        <v>41</v>
      </c>
      <c r="R111" s="23">
        <v>5.1100000000000003</v>
      </c>
      <c r="S111" s="13">
        <v>245</v>
      </c>
      <c r="T111" s="23">
        <v>6.8</v>
      </c>
      <c r="U111" s="15" t="s">
        <v>359</v>
      </c>
      <c r="V111" s="15" t="s">
        <v>360</v>
      </c>
      <c r="W111" s="24">
        <v>-10.75</v>
      </c>
      <c r="X111" s="24"/>
      <c r="Y111" s="24"/>
      <c r="Z111" s="24"/>
      <c r="AA111" s="16">
        <v>265311</v>
      </c>
      <c r="AB111" s="17">
        <f t="shared" si="12"/>
        <v>268.5491708259363</v>
      </c>
      <c r="AC111" s="27">
        <f t="shared" si="8"/>
        <v>-1.4264744627197068E-3</v>
      </c>
      <c r="AD111" s="19">
        <v>43460</v>
      </c>
      <c r="AE111" s="20">
        <v>-3.59</v>
      </c>
      <c r="AF111" s="16">
        <v>119170000</v>
      </c>
      <c r="AG111" s="20">
        <v>0.4</v>
      </c>
      <c r="AH111" s="16">
        <v>11437000</v>
      </c>
      <c r="AI111" s="20">
        <v>1.02</v>
      </c>
      <c r="AJ111" s="7">
        <f t="shared" si="11"/>
        <v>1391238.63</v>
      </c>
      <c r="AK111" s="27">
        <f t="shared" si="11"/>
        <v>-2.5578464425181191E-2</v>
      </c>
    </row>
    <row r="112" spans="1:37" ht="22.5" x14ac:dyDescent="0.55000000000000004">
      <c r="A112" s="7" t="s">
        <v>361</v>
      </c>
      <c r="B112" s="25">
        <v>0.55555555555555558</v>
      </c>
      <c r="C112" s="7">
        <v>1386401.37</v>
      </c>
      <c r="D112" s="27">
        <f>C112/C111-1</f>
        <v>-3.4769448574036854E-3</v>
      </c>
      <c r="E112" s="7">
        <v>415495.11</v>
      </c>
      <c r="F112" s="27">
        <f t="shared" si="6"/>
        <v>-1.4297130069187869E-2</v>
      </c>
      <c r="G112" s="9">
        <v>55712078.876000002</v>
      </c>
      <c r="H112" s="9">
        <v>69219.98</v>
      </c>
      <c r="I112" s="24">
        <f t="shared" si="7"/>
        <v>69.219979999999993</v>
      </c>
      <c r="J112" s="24">
        <f t="shared" si="10"/>
        <v>59.310767111111119</v>
      </c>
      <c r="K112" s="11">
        <v>11484607.855</v>
      </c>
      <c r="L112" s="11">
        <v>3756658.5649999999</v>
      </c>
      <c r="M112" s="11">
        <v>73072.880999999994</v>
      </c>
      <c r="N112" s="13"/>
      <c r="O112" s="13">
        <f>182+111</f>
        <v>293</v>
      </c>
      <c r="P112" s="13">
        <f>208+133</f>
        <v>341</v>
      </c>
      <c r="Q112" s="13">
        <v>71</v>
      </c>
      <c r="R112" s="23">
        <v>3.7</v>
      </c>
      <c r="S112" s="13">
        <v>117</v>
      </c>
      <c r="T112" s="23">
        <v>4.5999999999999996</v>
      </c>
      <c r="U112" s="15" t="s">
        <v>362</v>
      </c>
      <c r="V112" s="15" t="s">
        <v>363</v>
      </c>
      <c r="W112" s="24">
        <v>-6.41</v>
      </c>
      <c r="X112" s="24"/>
      <c r="Y112" s="24"/>
      <c r="Z112" s="24"/>
      <c r="AA112" s="16">
        <v>266300</v>
      </c>
      <c r="AB112" s="17">
        <f t="shared" si="12"/>
        <v>266.44140178745778</v>
      </c>
      <c r="AC112" s="27">
        <f t="shared" si="8"/>
        <v>3.7277006984255401E-3</v>
      </c>
      <c r="AD112" s="19">
        <v>42252</v>
      </c>
      <c r="AE112" s="20">
        <v>-2.39</v>
      </c>
      <c r="AF112" s="16">
        <v>120080000</v>
      </c>
      <c r="AG112" s="20">
        <v>0.64</v>
      </c>
      <c r="AH112" s="16">
        <v>11527000</v>
      </c>
      <c r="AI112" s="20">
        <v>0.88</v>
      </c>
      <c r="AJ112" s="7">
        <f t="shared" si="11"/>
        <v>1386401.37</v>
      </c>
      <c r="AK112" s="27">
        <f t="shared" si="11"/>
        <v>-3.4769448574036854E-3</v>
      </c>
    </row>
    <row r="113" spans="1:37" ht="22.5" x14ac:dyDescent="0.55000000000000004">
      <c r="A113" s="7" t="s">
        <v>364</v>
      </c>
      <c r="B113" s="25">
        <v>0.54652777777777783</v>
      </c>
      <c r="C113" s="7">
        <v>1422108.86</v>
      </c>
      <c r="D113" s="27">
        <f t="shared" si="5"/>
        <v>2.5755521288903571E-2</v>
      </c>
      <c r="E113" s="7">
        <v>422941.71</v>
      </c>
      <c r="F113" s="27">
        <f t="shared" si="6"/>
        <v>1.7922232586564002E-2</v>
      </c>
      <c r="G113" s="9">
        <v>57146512.648999996</v>
      </c>
      <c r="H113" s="9">
        <v>60356</v>
      </c>
      <c r="I113" s="24">
        <f t="shared" si="7"/>
        <v>60.356000000000002</v>
      </c>
      <c r="J113" s="24">
        <f t="shared" si="10"/>
        <v>59.207440444444437</v>
      </c>
      <c r="K113" s="11">
        <v>11648569.253</v>
      </c>
      <c r="L113" s="11">
        <v>3740528.9240000001</v>
      </c>
      <c r="M113" s="11">
        <v>87584.843999999997</v>
      </c>
      <c r="N113" s="13"/>
      <c r="O113" s="13">
        <f>318+169</f>
        <v>487</v>
      </c>
      <c r="P113" s="13">
        <f>89+76</f>
        <v>165</v>
      </c>
      <c r="Q113" s="13">
        <v>173</v>
      </c>
      <c r="R113" s="23">
        <v>4.9000000000000004</v>
      </c>
      <c r="S113" s="13">
        <v>85</v>
      </c>
      <c r="T113" s="23">
        <v>7.9</v>
      </c>
      <c r="U113" s="15" t="s">
        <v>365</v>
      </c>
      <c r="V113" s="15" t="s">
        <v>366</v>
      </c>
      <c r="W113" s="24">
        <v>2.85</v>
      </c>
      <c r="X113" s="24"/>
      <c r="Y113" s="24"/>
      <c r="Z113" s="24"/>
      <c r="AA113" s="16">
        <v>268349</v>
      </c>
      <c r="AB113" s="17">
        <f t="shared" si="12"/>
        <v>270.30326487521847</v>
      </c>
      <c r="AC113" s="27">
        <f t="shared" si="8"/>
        <v>7.694329703342051E-3</v>
      </c>
      <c r="AD113" s="19">
        <v>42492</v>
      </c>
      <c r="AE113" s="20">
        <v>-0.61</v>
      </c>
      <c r="AF113" s="16">
        <v>118670000</v>
      </c>
      <c r="AG113" s="20">
        <v>0.64</v>
      </c>
      <c r="AH113" s="16">
        <v>11432000</v>
      </c>
      <c r="AI113" s="20">
        <v>0.88</v>
      </c>
      <c r="AJ113" s="7">
        <f t="shared" si="11"/>
        <v>1422108.86</v>
      </c>
      <c r="AK113" s="27">
        <f t="shared" si="11"/>
        <v>2.5755521288903571E-2</v>
      </c>
    </row>
    <row r="114" spans="1:37" ht="22.5" x14ac:dyDescent="0.55000000000000004">
      <c r="A114" s="7" t="s">
        <v>367</v>
      </c>
      <c r="B114" s="25">
        <v>0.54861111111111105</v>
      </c>
      <c r="C114" s="7">
        <v>1424727</v>
      </c>
      <c r="D114" s="27">
        <f t="shared" si="5"/>
        <v>1.8410264316894853E-3</v>
      </c>
      <c r="E114" s="7">
        <v>420955.31</v>
      </c>
      <c r="F114" s="27">
        <f t="shared" si="6"/>
        <v>-4.6966282895106737E-3</v>
      </c>
      <c r="G114" s="9">
        <v>57250824.108999997</v>
      </c>
      <c r="H114" s="9">
        <v>47886.815000000002</v>
      </c>
      <c r="I114" s="24">
        <f t="shared" si="7"/>
        <v>47.886815000000006</v>
      </c>
      <c r="J114" s="24">
        <f t="shared" si="10"/>
        <v>57.491475888888885</v>
      </c>
      <c r="K114" s="11">
        <v>11619027.654999999</v>
      </c>
      <c r="L114" s="11">
        <v>3721555.128</v>
      </c>
      <c r="M114" s="11">
        <v>302515.32299999997</v>
      </c>
      <c r="N114" s="13"/>
      <c r="O114" s="13">
        <f>162+139</f>
        <v>301</v>
      </c>
      <c r="P114" s="13">
        <f>231+133</f>
        <v>364</v>
      </c>
      <c r="Q114" s="13">
        <v>54</v>
      </c>
      <c r="R114" s="23">
        <v>2.5</v>
      </c>
      <c r="S114" s="13">
        <v>119</v>
      </c>
      <c r="T114" s="23">
        <v>10.9</v>
      </c>
      <c r="U114" s="15" t="s">
        <v>368</v>
      </c>
      <c r="V114" s="15" t="s">
        <v>369</v>
      </c>
      <c r="W114" s="24">
        <v>-4.83</v>
      </c>
      <c r="X114" s="24"/>
      <c r="Y114" s="24"/>
      <c r="Z114" s="24"/>
      <c r="AA114" s="16">
        <v>268349</v>
      </c>
      <c r="AB114" s="17">
        <f t="shared" si="12"/>
        <v>270.51118838527435</v>
      </c>
      <c r="AC114" s="27">
        <f t="shared" si="8"/>
        <v>0</v>
      </c>
      <c r="AD114" s="19">
        <v>42430</v>
      </c>
      <c r="AE114" s="20">
        <v>-0.99</v>
      </c>
      <c r="AF114" s="16">
        <v>118420000</v>
      </c>
      <c r="AG114" s="20">
        <v>-0.76</v>
      </c>
      <c r="AH114" s="16">
        <v>11460000</v>
      </c>
      <c r="AI114" s="20">
        <v>0.36</v>
      </c>
      <c r="AJ114" s="7">
        <f t="shared" si="11"/>
        <v>1424727</v>
      </c>
      <c r="AK114" s="27">
        <f t="shared" si="11"/>
        <v>1.8410264316894853E-3</v>
      </c>
    </row>
    <row r="115" spans="1:37" ht="22.5" x14ac:dyDescent="0.55000000000000004">
      <c r="A115" s="7" t="s">
        <v>370</v>
      </c>
      <c r="B115" s="25">
        <v>0.55208333333333337</v>
      </c>
      <c r="C115" s="7">
        <v>1425461.31</v>
      </c>
      <c r="D115" s="27">
        <f t="shared" si="5"/>
        <v>5.1540400371452577E-4</v>
      </c>
      <c r="E115" s="7">
        <v>419550.29</v>
      </c>
      <c r="F115" s="27">
        <f t="shared" si="6"/>
        <v>-3.337693970412281E-3</v>
      </c>
      <c r="G115" s="9">
        <v>57279918.950000003</v>
      </c>
      <c r="H115" s="9">
        <v>47646.5</v>
      </c>
      <c r="I115" s="24">
        <f t="shared" si="7"/>
        <v>47.646500000000003</v>
      </c>
      <c r="J115" s="24">
        <f t="shared" si="10"/>
        <v>56.007002444444453</v>
      </c>
      <c r="K115" s="11">
        <v>11648824.359999999</v>
      </c>
      <c r="L115" s="11">
        <v>3701712.54</v>
      </c>
      <c r="M115" s="11">
        <v>108552.6</v>
      </c>
      <c r="N115" s="13"/>
      <c r="O115" s="13">
        <f>161+136</f>
        <v>297</v>
      </c>
      <c r="P115" s="13">
        <f>227+127</f>
        <v>354</v>
      </c>
      <c r="Q115" s="13">
        <v>73</v>
      </c>
      <c r="R115" s="23">
        <v>3.08</v>
      </c>
      <c r="S115" s="13">
        <v>105</v>
      </c>
      <c r="T115" s="23">
        <v>7.3</v>
      </c>
      <c r="U115" s="15" t="s">
        <v>371</v>
      </c>
      <c r="V115" s="15" t="s">
        <v>372</v>
      </c>
      <c r="W115" s="24">
        <v>-2.76</v>
      </c>
      <c r="X115" s="24"/>
      <c r="Y115" s="24"/>
      <c r="Z115" s="24"/>
      <c r="AA115" s="16">
        <v>274910</v>
      </c>
      <c r="AB115" s="17">
        <f t="shared" si="12"/>
        <v>264.19721308791964</v>
      </c>
      <c r="AC115" s="27">
        <f t="shared" si="8"/>
        <v>2.4449504190438676E-2</v>
      </c>
      <c r="AD115" s="19">
        <v>41942</v>
      </c>
      <c r="AE115" s="20">
        <v>-3.64</v>
      </c>
      <c r="AF115" s="16">
        <v>118880000</v>
      </c>
      <c r="AG115" s="20">
        <v>0.2</v>
      </c>
      <c r="AH115" s="16">
        <v>11499000</v>
      </c>
      <c r="AI115" s="20">
        <v>0.34</v>
      </c>
      <c r="AJ115" s="7">
        <f t="shared" si="11"/>
        <v>1425461.31</v>
      </c>
      <c r="AK115" s="27">
        <f t="shared" si="11"/>
        <v>5.1540400371452577E-4</v>
      </c>
    </row>
    <row r="116" spans="1:37" ht="22.5" x14ac:dyDescent="0.55000000000000004">
      <c r="A116" s="7" t="s">
        <v>373</v>
      </c>
      <c r="B116" s="25">
        <v>0.54305555555555551</v>
      </c>
      <c r="C116" s="7">
        <v>1437030.04</v>
      </c>
      <c r="D116" s="27">
        <f t="shared" si="5"/>
        <v>8.1157797260733577E-3</v>
      </c>
      <c r="E116" s="7">
        <v>420796.54</v>
      </c>
      <c r="F116" s="27">
        <f t="shared" si="6"/>
        <v>2.9704424706749055E-3</v>
      </c>
      <c r="G116" s="9">
        <v>57749405.983000003</v>
      </c>
      <c r="H116" s="9">
        <v>66517.695999999996</v>
      </c>
      <c r="I116" s="24">
        <f t="shared" si="7"/>
        <v>66.517696000000001</v>
      </c>
      <c r="J116" s="24">
        <f t="shared" si="10"/>
        <v>57.260836000000005</v>
      </c>
      <c r="K116" s="11">
        <v>11705142.926999999</v>
      </c>
      <c r="L116" s="11">
        <v>3705633.8149999999</v>
      </c>
      <c r="M116" s="11">
        <v>221675.03200000001</v>
      </c>
      <c r="N116" s="13"/>
      <c r="O116" s="13">
        <f>242+179</f>
        <v>421</v>
      </c>
      <c r="P116" s="13">
        <f>97+147</f>
        <v>244</v>
      </c>
      <c r="Q116" s="13">
        <v>106</v>
      </c>
      <c r="R116" s="23">
        <v>4.7</v>
      </c>
      <c r="S116" s="13">
        <v>66</v>
      </c>
      <c r="T116" s="23">
        <v>4.5</v>
      </c>
      <c r="U116" s="15" t="s">
        <v>374</v>
      </c>
      <c r="V116" s="15" t="s">
        <v>375</v>
      </c>
      <c r="W116" s="24">
        <v>-0.16</v>
      </c>
      <c r="X116" s="24"/>
      <c r="Y116" s="24"/>
      <c r="Z116" s="24"/>
      <c r="AA116" s="16">
        <v>276930</v>
      </c>
      <c r="AB116" s="17">
        <f t="shared" si="12"/>
        <v>264.18294415556278</v>
      </c>
      <c r="AC116" s="27">
        <f t="shared" si="8"/>
        <v>7.3478592994071779E-3</v>
      </c>
      <c r="AD116" s="19">
        <v>42245</v>
      </c>
      <c r="AE116" s="20">
        <v>0.48</v>
      </c>
      <c r="AF116" s="16">
        <v>120820000</v>
      </c>
      <c r="AG116" s="20">
        <v>0.97</v>
      </c>
      <c r="AH116" s="16">
        <v>11601000</v>
      </c>
      <c r="AI116" s="20">
        <v>1.23</v>
      </c>
      <c r="AJ116" s="7">
        <f t="shared" si="11"/>
        <v>1437030.04</v>
      </c>
      <c r="AK116" s="27">
        <f t="shared" si="11"/>
        <v>8.1157797260733577E-3</v>
      </c>
    </row>
    <row r="117" spans="1:37" ht="22.5" x14ac:dyDescent="0.55000000000000004">
      <c r="A117" s="7" t="s">
        <v>376</v>
      </c>
      <c r="B117" s="25">
        <v>0.55208333333333337</v>
      </c>
      <c r="C117" s="7">
        <v>1473481.82</v>
      </c>
      <c r="D117" s="27">
        <f t="shared" si="5"/>
        <v>2.5366052890585467E-2</v>
      </c>
      <c r="E117" s="7">
        <v>424825.88</v>
      </c>
      <c r="F117" s="27">
        <f t="shared" si="6"/>
        <v>9.5755064906191123E-3</v>
      </c>
      <c r="G117" s="9">
        <v>59216009.107000001</v>
      </c>
      <c r="H117" s="9">
        <v>72490.447</v>
      </c>
      <c r="I117" s="24">
        <f t="shared" si="7"/>
        <v>72.490447000000003</v>
      </c>
      <c r="J117" s="24">
        <f t="shared" si="10"/>
        <v>57.191984777777776</v>
      </c>
      <c r="K117" s="11">
        <v>11895893.668</v>
      </c>
      <c r="L117" s="11">
        <v>3728677.7220000001</v>
      </c>
      <c r="M117" s="11">
        <v>94158.657000000007</v>
      </c>
      <c r="N117" s="13"/>
      <c r="O117" s="13">
        <f>240+187</f>
        <v>427</v>
      </c>
      <c r="P117" s="13">
        <f>157+87</f>
        <v>244</v>
      </c>
      <c r="Q117" s="13">
        <v>132</v>
      </c>
      <c r="R117" s="23">
        <v>6.8</v>
      </c>
      <c r="S117" s="13">
        <v>70</v>
      </c>
      <c r="T117" s="23">
        <v>2.2000000000000002</v>
      </c>
      <c r="U117" s="15" t="s">
        <v>377</v>
      </c>
      <c r="V117" s="15" t="s">
        <v>378</v>
      </c>
      <c r="W117" s="24">
        <v>1.47</v>
      </c>
      <c r="X117" s="24"/>
      <c r="Y117" s="24"/>
      <c r="Z117" s="24"/>
      <c r="AA117" s="16">
        <v>276425</v>
      </c>
      <c r="AB117" s="17">
        <f t="shared" si="12"/>
        <v>270.74461606945829</v>
      </c>
      <c r="AC117" s="27">
        <f t="shared" si="8"/>
        <v>-1.8235655219730473E-3</v>
      </c>
      <c r="AD117" s="19">
        <v>47795</v>
      </c>
      <c r="AE117" s="20">
        <v>6.27</v>
      </c>
      <c r="AF117" s="16">
        <v>120740000</v>
      </c>
      <c r="AG117" s="20">
        <v>0.9</v>
      </c>
      <c r="AH117" s="16">
        <v>11645000</v>
      </c>
      <c r="AI117" s="20">
        <v>1.61</v>
      </c>
      <c r="AJ117" s="7">
        <f t="shared" si="11"/>
        <v>1473481.82</v>
      </c>
      <c r="AK117" s="27">
        <f t="shared" si="11"/>
        <v>2.5366052890585467E-2</v>
      </c>
    </row>
    <row r="118" spans="1:37" ht="22.5" x14ac:dyDescent="0.55000000000000004">
      <c r="A118" s="7" t="s">
        <v>379</v>
      </c>
      <c r="B118" s="25">
        <v>0.53125</v>
      </c>
      <c r="C118" s="7">
        <v>1476689.16</v>
      </c>
      <c r="D118" s="27">
        <f t="shared" si="5"/>
        <v>2.1767082270480742E-3</v>
      </c>
      <c r="E118" s="7">
        <v>422578.94</v>
      </c>
      <c r="F118" s="27">
        <f t="shared" si="6"/>
        <v>-5.2890845538883235E-3</v>
      </c>
      <c r="G118" s="9">
        <v>59344439.171999998</v>
      </c>
      <c r="H118" s="9">
        <v>66530.051999999996</v>
      </c>
      <c r="I118" s="24">
        <f t="shared" si="7"/>
        <v>66.530051999999998</v>
      </c>
      <c r="J118" s="24">
        <f t="shared" si="10"/>
        <v>58.628917111111114</v>
      </c>
      <c r="K118" s="11">
        <v>11906202.280999999</v>
      </c>
      <c r="L118" s="11">
        <v>3739085.6710000001</v>
      </c>
      <c r="M118" s="11">
        <v>86130.755999999994</v>
      </c>
      <c r="N118" s="13"/>
      <c r="O118" s="13">
        <f>165+134</f>
        <v>299</v>
      </c>
      <c r="P118" s="13">
        <f>129+221</f>
        <v>350</v>
      </c>
      <c r="Q118" s="13">
        <v>83</v>
      </c>
      <c r="R118" s="23">
        <v>4.4000000000000004</v>
      </c>
      <c r="S118" s="13">
        <v>88</v>
      </c>
      <c r="T118" s="23">
        <v>2.8</v>
      </c>
      <c r="U118" s="15" t="s">
        <v>380</v>
      </c>
      <c r="V118" s="15" t="s">
        <v>381</v>
      </c>
      <c r="W118" s="24">
        <v>-5.71</v>
      </c>
      <c r="X118" s="24"/>
      <c r="Y118" s="24"/>
      <c r="Z118" s="24"/>
      <c r="AA118" s="16">
        <v>274801</v>
      </c>
      <c r="AB118" s="17">
        <f t="shared" si="12"/>
        <v>272.88738805171744</v>
      </c>
      <c r="AC118" s="27">
        <f t="shared" si="8"/>
        <v>-5.875011305055633E-3</v>
      </c>
      <c r="AD118" s="19">
        <v>47650</v>
      </c>
      <c r="AE118" s="20">
        <v>-0.32</v>
      </c>
      <c r="AF118" s="16">
        <v>120210000</v>
      </c>
      <c r="AG118" s="20">
        <v>-0.67</v>
      </c>
      <c r="AH118" s="16">
        <v>11594000</v>
      </c>
      <c r="AI118" s="20">
        <v>-0.66</v>
      </c>
      <c r="AJ118" s="7">
        <f t="shared" si="11"/>
        <v>1476689.16</v>
      </c>
      <c r="AK118" s="27">
        <f t="shared" si="11"/>
        <v>2.1767082270480742E-3</v>
      </c>
    </row>
    <row r="119" spans="1:37" ht="22.5" x14ac:dyDescent="0.55000000000000004">
      <c r="A119" s="7" t="s">
        <v>382</v>
      </c>
      <c r="B119" s="25">
        <v>0.56111111111111112</v>
      </c>
      <c r="C119" s="7">
        <v>1484652.8</v>
      </c>
      <c r="D119" s="27">
        <f t="shared" si="5"/>
        <v>5.3929020512346604E-3</v>
      </c>
      <c r="E119" s="7">
        <v>425543.93</v>
      </c>
      <c r="F119" s="27">
        <f t="shared" si="6"/>
        <v>7.0164168616637657E-3</v>
      </c>
      <c r="G119" s="9">
        <v>59667019.230999999</v>
      </c>
      <c r="H119" s="9">
        <v>52383.877999999997</v>
      </c>
      <c r="I119" s="24">
        <f t="shared" si="7"/>
        <v>52.383877999999996</v>
      </c>
      <c r="J119" s="24">
        <f t="shared" si="10"/>
        <v>59.631021888888895</v>
      </c>
      <c r="K119" s="11">
        <v>11934955.362</v>
      </c>
      <c r="L119" s="11">
        <v>3752257.85</v>
      </c>
      <c r="M119" s="11">
        <v>377352.10399999999</v>
      </c>
      <c r="N119" s="13"/>
      <c r="O119" s="13">
        <f>249+181</f>
        <v>430</v>
      </c>
      <c r="P119" s="13">
        <f>144+100</f>
        <v>244</v>
      </c>
      <c r="Q119" s="13">
        <v>103</v>
      </c>
      <c r="R119" s="23">
        <v>3.8</v>
      </c>
      <c r="S119" s="13">
        <v>43</v>
      </c>
      <c r="T119" s="23">
        <v>1.99</v>
      </c>
      <c r="U119" s="15" t="s">
        <v>383</v>
      </c>
      <c r="V119" s="15" t="s">
        <v>384</v>
      </c>
      <c r="W119" s="24">
        <v>-3.35</v>
      </c>
      <c r="X119" s="24"/>
      <c r="Y119" s="24"/>
      <c r="Z119" s="24"/>
      <c r="AA119" s="16">
        <v>274800</v>
      </c>
      <c r="AB119" s="17">
        <f t="shared" si="12"/>
        <v>274.21481966157205</v>
      </c>
      <c r="AC119" s="27">
        <f t="shared" si="8"/>
        <v>-3.6389969468864081E-6</v>
      </c>
      <c r="AD119" s="19">
        <v>47680</v>
      </c>
      <c r="AE119" s="20">
        <v>-0.22</v>
      </c>
      <c r="AF119" s="16">
        <v>120570000</v>
      </c>
      <c r="AG119" s="20">
        <v>0.12</v>
      </c>
      <c r="AH119" s="16">
        <v>11647000</v>
      </c>
      <c r="AI119" s="20">
        <v>0.34</v>
      </c>
      <c r="AJ119" s="7">
        <f t="shared" si="11"/>
        <v>1484652.8</v>
      </c>
      <c r="AK119" s="27">
        <f t="shared" si="11"/>
        <v>5.3929020512346604E-3</v>
      </c>
    </row>
    <row r="120" spans="1:37" ht="22.5" x14ac:dyDescent="0.55000000000000004">
      <c r="A120" s="7" t="s">
        <v>385</v>
      </c>
      <c r="B120" s="25">
        <v>0.55555555555555558</v>
      </c>
      <c r="C120" s="7">
        <v>1488291.82</v>
      </c>
      <c r="D120" s="27">
        <f t="shared" si="5"/>
        <v>2.4510915952875578E-3</v>
      </c>
      <c r="E120" s="7">
        <v>427282.94</v>
      </c>
      <c r="F120" s="27">
        <f t="shared" si="6"/>
        <v>4.0865581139883922E-3</v>
      </c>
      <c r="G120" s="9">
        <v>59809889.704000004</v>
      </c>
      <c r="H120" s="9">
        <v>57631.51</v>
      </c>
      <c r="I120" s="24">
        <f t="shared" si="7"/>
        <v>57.631509999999999</v>
      </c>
      <c r="J120" s="24">
        <f t="shared" si="10"/>
        <v>60.073653111111106</v>
      </c>
      <c r="K120" s="11">
        <v>11912434.072000001</v>
      </c>
      <c r="L120" s="11">
        <v>3739788.7039999999</v>
      </c>
      <c r="M120" s="11">
        <v>182107.72</v>
      </c>
      <c r="N120" s="13"/>
      <c r="O120" s="13">
        <f>208+146</f>
        <v>354</v>
      </c>
      <c r="P120" s="13">
        <f>184+111</f>
        <v>295</v>
      </c>
      <c r="Q120" s="13">
        <v>107</v>
      </c>
      <c r="R120" s="23">
        <v>4.21</v>
      </c>
      <c r="S120" s="13">
        <v>48</v>
      </c>
      <c r="T120" s="23">
        <v>1.83</v>
      </c>
      <c r="U120" s="15" t="s">
        <v>386</v>
      </c>
      <c r="V120" s="15" t="s">
        <v>387</v>
      </c>
      <c r="W120" s="24">
        <v>-1.82</v>
      </c>
      <c r="X120" s="24"/>
      <c r="Y120" s="24"/>
      <c r="Z120" s="24"/>
      <c r="AA120" s="16">
        <v>275800</v>
      </c>
      <c r="AB120" s="17">
        <f t="shared" si="12"/>
        <v>273.61172037708485</v>
      </c>
      <c r="AC120" s="27">
        <f t="shared" si="8"/>
        <v>3.6390101892285198E-3</v>
      </c>
      <c r="AD120" s="19">
        <v>50617</v>
      </c>
      <c r="AE120" s="20">
        <v>0.68</v>
      </c>
      <c r="AF120" s="16">
        <v>119820000</v>
      </c>
      <c r="AG120" s="20">
        <v>-0.83</v>
      </c>
      <c r="AH120" s="16">
        <v>11643000</v>
      </c>
      <c r="AI120" s="20">
        <v>-0.41</v>
      </c>
      <c r="AJ120" s="7">
        <f t="shared" si="11"/>
        <v>1488291.82</v>
      </c>
      <c r="AK120" s="27">
        <f t="shared" si="11"/>
        <v>2.4510915952875578E-3</v>
      </c>
    </row>
    <row r="121" spans="1:37" ht="22.5" x14ac:dyDescent="0.55000000000000004">
      <c r="A121" s="7" t="s">
        <v>388</v>
      </c>
      <c r="B121" s="25">
        <v>0.54166666666666663</v>
      </c>
      <c r="C121" s="7">
        <v>1465984.18</v>
      </c>
      <c r="D121" s="27">
        <f t="shared" si="5"/>
        <v>-1.4988754020028194E-2</v>
      </c>
      <c r="E121" s="7">
        <v>420580.89</v>
      </c>
      <c r="F121" s="27">
        <f t="shared" si="6"/>
        <v>-1.5685274024748064E-2</v>
      </c>
      <c r="G121" s="9">
        <v>58910632.156999998</v>
      </c>
      <c r="H121" s="9">
        <v>54650.595000000001</v>
      </c>
      <c r="I121" s="24">
        <f t="shared" si="7"/>
        <v>54.650595000000003</v>
      </c>
      <c r="J121" s="24">
        <f t="shared" si="10"/>
        <v>58.454832555555555</v>
      </c>
      <c r="K121" s="11">
        <v>11716288.513</v>
      </c>
      <c r="L121" s="11">
        <v>3730849.73</v>
      </c>
      <c r="M121" s="11">
        <v>74042.486000000004</v>
      </c>
      <c r="N121" s="13"/>
      <c r="O121" s="13">
        <f>67+100</f>
        <v>167</v>
      </c>
      <c r="P121" s="13">
        <f>156+323</f>
        <v>479</v>
      </c>
      <c r="Q121" s="13">
        <v>51</v>
      </c>
      <c r="R121" s="23">
        <v>2.35</v>
      </c>
      <c r="S121" s="13">
        <v>169</v>
      </c>
      <c r="T121" s="23">
        <v>6.3</v>
      </c>
      <c r="U121" s="15" t="s">
        <v>389</v>
      </c>
      <c r="V121" s="15" t="s">
        <v>390</v>
      </c>
      <c r="W121" s="24">
        <v>-9.83</v>
      </c>
      <c r="X121" s="24"/>
      <c r="Y121" s="24"/>
      <c r="Z121" s="24"/>
      <c r="AA121" s="16">
        <v>272965</v>
      </c>
      <c r="AB121" s="17">
        <f t="shared" si="12"/>
        <v>272.40770941329475</v>
      </c>
      <c r="AC121" s="27">
        <f t="shared" si="8"/>
        <v>-1.0279187817258895E-2</v>
      </c>
      <c r="AD121" s="19">
        <v>54661</v>
      </c>
      <c r="AE121" s="20">
        <v>-1.41</v>
      </c>
      <c r="AF121" s="16">
        <v>118580000</v>
      </c>
      <c r="AG121" s="20">
        <v>-0.96</v>
      </c>
      <c r="AH121" s="16">
        <v>11504000</v>
      </c>
      <c r="AI121" s="20">
        <v>-0.78</v>
      </c>
      <c r="AJ121" s="7">
        <f t="shared" si="11"/>
        <v>1465984.18</v>
      </c>
      <c r="AK121" s="27">
        <f t="shared" si="11"/>
        <v>-1.4988754020028194E-2</v>
      </c>
    </row>
    <row r="122" spans="1:37" ht="22.5" x14ac:dyDescent="0.55000000000000004">
      <c r="A122" s="7" t="s">
        <v>391</v>
      </c>
      <c r="B122" s="25">
        <v>0.56736111111111109</v>
      </c>
      <c r="C122" s="7">
        <v>1455609.97</v>
      </c>
      <c r="D122" s="27">
        <f t="shared" si="5"/>
        <v>-7.0766179755090697E-3</v>
      </c>
      <c r="E122" s="7">
        <v>414683.02</v>
      </c>
      <c r="F122" s="27">
        <f t="shared" si="6"/>
        <v>-1.4023152597351762E-2</v>
      </c>
      <c r="G122" s="9">
        <v>58490176.060999997</v>
      </c>
      <c r="H122" s="9">
        <v>44022.932000000001</v>
      </c>
      <c r="I122" s="24">
        <f t="shared" si="7"/>
        <v>44.022931999999997</v>
      </c>
      <c r="J122" s="24">
        <f t="shared" si="10"/>
        <v>56.640047222222229</v>
      </c>
      <c r="K122" s="11">
        <v>11604618.562999999</v>
      </c>
      <c r="L122" s="11">
        <v>3701315.594</v>
      </c>
      <c r="M122" s="11">
        <v>107968.128</v>
      </c>
      <c r="N122" s="13"/>
      <c r="O122" s="13">
        <f>116+98</f>
        <v>214</v>
      </c>
      <c r="P122" s="13">
        <f>173+274</f>
        <v>447</v>
      </c>
      <c r="Q122" s="13">
        <v>65</v>
      </c>
      <c r="R122" s="23">
        <v>1.4</v>
      </c>
      <c r="S122" s="13">
        <v>112</v>
      </c>
      <c r="T122" s="23">
        <v>3.09</v>
      </c>
      <c r="U122" s="15" t="s">
        <v>392</v>
      </c>
      <c r="V122" s="15" t="s">
        <v>393</v>
      </c>
      <c r="W122" s="24">
        <v>-4.74</v>
      </c>
      <c r="X122" s="24"/>
      <c r="Y122" s="24"/>
      <c r="Z122" s="24"/>
      <c r="AA122" s="16">
        <v>268925</v>
      </c>
      <c r="AB122" s="17">
        <f t="shared" si="12"/>
        <v>274.41149100306774</v>
      </c>
      <c r="AC122" s="27">
        <f t="shared" si="8"/>
        <v>-1.480043228985406E-2</v>
      </c>
      <c r="AD122" s="19">
        <v>55038</v>
      </c>
      <c r="AE122" s="20">
        <v>0.72</v>
      </c>
      <c r="AF122" s="16">
        <v>117920000</v>
      </c>
      <c r="AG122" s="20">
        <v>0.08</v>
      </c>
      <c r="AH122" s="16">
        <v>11402000</v>
      </c>
      <c r="AI122" s="20">
        <v>-0.11</v>
      </c>
      <c r="AJ122" s="7">
        <f t="shared" si="11"/>
        <v>1455609.97</v>
      </c>
      <c r="AK122" s="27">
        <f t="shared" si="11"/>
        <v>-7.0766179755090697E-3</v>
      </c>
    </row>
    <row r="123" spans="1:37" ht="22.5" x14ac:dyDescent="0.55000000000000004">
      <c r="A123" s="7" t="s">
        <v>394</v>
      </c>
      <c r="B123" s="25">
        <v>0.55833333333333335</v>
      </c>
      <c r="C123" s="7">
        <v>1457495.56</v>
      </c>
      <c r="D123" s="27">
        <f t="shared" ref="D123:D248" si="13">C123/C122-1</f>
        <v>1.2953950844400985E-3</v>
      </c>
      <c r="E123" s="7">
        <v>413758</v>
      </c>
      <c r="F123" s="27">
        <f t="shared" si="6"/>
        <v>-2.2306676555022831E-3</v>
      </c>
      <c r="G123" s="9">
        <v>58566007.298</v>
      </c>
      <c r="H123" s="9">
        <v>50344.391000000003</v>
      </c>
      <c r="I123" s="24">
        <f t="shared" ref="I123:I186" si="14">H123/1000</f>
        <v>50.344391000000002</v>
      </c>
      <c r="J123" s="24">
        <f t="shared" si="10"/>
        <v>56.91311122222222</v>
      </c>
      <c r="K123" s="11">
        <v>11633468.302999999</v>
      </c>
      <c r="L123" s="11">
        <v>3705234.0980000002</v>
      </c>
      <c r="M123" s="11">
        <v>285581.50199999998</v>
      </c>
      <c r="N123" s="13"/>
      <c r="O123" s="13">
        <f>125+118</f>
        <v>243</v>
      </c>
      <c r="P123" s="13">
        <f>259+175</f>
        <v>434</v>
      </c>
      <c r="Q123" s="13">
        <v>62</v>
      </c>
      <c r="R123" s="23">
        <v>2.0299999999999998</v>
      </c>
      <c r="S123" s="13">
        <v>89</v>
      </c>
      <c r="T123" s="23">
        <v>3.3</v>
      </c>
      <c r="U123" s="15" t="s">
        <v>395</v>
      </c>
      <c r="V123" s="15" t="s">
        <v>396</v>
      </c>
      <c r="W123" s="24">
        <v>-3.3</v>
      </c>
      <c r="X123" s="24"/>
      <c r="Y123" s="24"/>
      <c r="Z123" s="24"/>
      <c r="AA123" s="16">
        <v>267915</v>
      </c>
      <c r="AB123" s="17">
        <f t="shared" si="12"/>
        <v>275.85133232181852</v>
      </c>
      <c r="AC123" s="27">
        <f t="shared" ref="AC123:AC377" si="15">(AA123/AA122-1)</f>
        <v>-3.7556939667193756E-3</v>
      </c>
      <c r="AD123" s="19">
        <v>56510</v>
      </c>
      <c r="AE123" s="20">
        <v>2.94</v>
      </c>
      <c r="AF123" s="16">
        <v>117610000</v>
      </c>
      <c r="AG123" s="20">
        <v>-0.6</v>
      </c>
      <c r="AH123" s="16">
        <v>11384000</v>
      </c>
      <c r="AI123" s="20">
        <v>-0.39</v>
      </c>
      <c r="AJ123" s="7">
        <f t="shared" si="11"/>
        <v>1457495.56</v>
      </c>
      <c r="AK123" s="27">
        <f t="shared" si="11"/>
        <v>1.2953950844400985E-3</v>
      </c>
    </row>
    <row r="124" spans="1:37" ht="22.5" x14ac:dyDescent="0.55000000000000004">
      <c r="A124" s="7" t="s">
        <v>397</v>
      </c>
      <c r="B124" s="25">
        <v>0.53819444444444442</v>
      </c>
      <c r="C124" s="7">
        <v>1418722.26</v>
      </c>
      <c r="D124" s="27">
        <f t="shared" si="13"/>
        <v>-2.660268824420986E-2</v>
      </c>
      <c r="E124" s="7">
        <v>401575.17</v>
      </c>
      <c r="F124" s="27">
        <f t="shared" si="6"/>
        <v>-2.9444337027924594E-2</v>
      </c>
      <c r="G124" s="9">
        <v>57004203.736000001</v>
      </c>
      <c r="H124" s="9">
        <v>48035.072999999997</v>
      </c>
      <c r="I124" s="24">
        <f t="shared" si="14"/>
        <v>48.035072999999997</v>
      </c>
      <c r="J124" s="24">
        <f t="shared" si="10"/>
        <v>56.956286000000006</v>
      </c>
      <c r="K124" s="11">
        <v>11437952.429</v>
      </c>
      <c r="L124" s="11">
        <v>3669011.8870000001</v>
      </c>
      <c r="M124" s="11">
        <v>67034.062999999995</v>
      </c>
      <c r="N124" s="13"/>
      <c r="O124" s="13">
        <f>42+63</f>
        <v>105</v>
      </c>
      <c r="P124" s="13">
        <f>342+192</f>
        <v>534</v>
      </c>
      <c r="Q124" s="13">
        <v>34</v>
      </c>
      <c r="R124" s="23">
        <v>1.2</v>
      </c>
      <c r="S124" s="13">
        <v>288</v>
      </c>
      <c r="T124" s="23">
        <v>5.7</v>
      </c>
      <c r="U124" s="15" t="s">
        <v>398</v>
      </c>
      <c r="V124" s="15" t="s">
        <v>399</v>
      </c>
      <c r="W124" s="24">
        <v>-12.34</v>
      </c>
      <c r="X124" s="24"/>
      <c r="Y124" s="24"/>
      <c r="Z124" s="24"/>
      <c r="AA124" s="16">
        <v>265760</v>
      </c>
      <c r="AB124" s="17">
        <f t="shared" si="12"/>
        <v>271.3394342715232</v>
      </c>
      <c r="AC124" s="27">
        <f t="shared" si="15"/>
        <v>-8.0435959166152982E-3</v>
      </c>
      <c r="AD124" s="19">
        <v>57254</v>
      </c>
      <c r="AE124" s="20">
        <v>1.1200000000000001</v>
      </c>
      <c r="AF124" s="16">
        <v>116440000</v>
      </c>
      <c r="AG124" s="20">
        <v>-0.41</v>
      </c>
      <c r="AH124" s="16">
        <v>11245000</v>
      </c>
      <c r="AI124" s="20">
        <v>-0.66</v>
      </c>
      <c r="AJ124" s="7">
        <f t="shared" si="11"/>
        <v>1418722.26</v>
      </c>
      <c r="AK124" s="27">
        <f t="shared" si="11"/>
        <v>-2.660268824420986E-2</v>
      </c>
    </row>
    <row r="125" spans="1:37" ht="22.5" x14ac:dyDescent="0.55000000000000004">
      <c r="A125" s="7" t="s">
        <v>400</v>
      </c>
      <c r="B125" s="25">
        <v>0.55555555555555558</v>
      </c>
      <c r="C125" s="7">
        <v>1397386.1</v>
      </c>
      <c r="D125" s="27">
        <f t="shared" si="13"/>
        <v>-1.5038997132532428E-2</v>
      </c>
      <c r="E125" s="7">
        <v>392781.59</v>
      </c>
      <c r="F125" s="27">
        <f t="shared" si="6"/>
        <v>-2.1897718427162594E-2</v>
      </c>
      <c r="G125" s="9">
        <v>56147840.556000002</v>
      </c>
      <c r="H125" s="9">
        <v>40536.311000000002</v>
      </c>
      <c r="I125" s="24">
        <f t="shared" si="14"/>
        <v>40.536311000000005</v>
      </c>
      <c r="J125" s="24">
        <f t="shared" si="10"/>
        <v>54.069465444444447</v>
      </c>
      <c r="K125" s="11">
        <v>11205235.015000001</v>
      </c>
      <c r="L125" s="11">
        <v>3640157.8050000002</v>
      </c>
      <c r="M125" s="11">
        <v>62571.756999999998</v>
      </c>
      <c r="N125" s="13"/>
      <c r="O125" s="13">
        <f>85+65</f>
        <v>150</v>
      </c>
      <c r="P125" s="13">
        <f>196+303</f>
        <v>499</v>
      </c>
      <c r="Q125" s="13">
        <v>39</v>
      </c>
      <c r="R125" s="23">
        <v>1.1599999999999999</v>
      </c>
      <c r="S125" s="13">
        <v>189</v>
      </c>
      <c r="T125" s="23">
        <v>6.95</v>
      </c>
      <c r="U125" s="15" t="s">
        <v>401</v>
      </c>
      <c r="V125" s="15" t="s">
        <v>402</v>
      </c>
      <c r="W125" s="24">
        <v>-7.78</v>
      </c>
      <c r="X125" s="24"/>
      <c r="Y125" s="24"/>
      <c r="Z125" s="24"/>
      <c r="AA125" s="16">
        <v>265260</v>
      </c>
      <c r="AB125" s="17">
        <f t="shared" si="12"/>
        <v>267.63640720802232</v>
      </c>
      <c r="AC125" s="27">
        <f t="shared" si="15"/>
        <v>-1.8813967489463845E-3</v>
      </c>
      <c r="AD125" s="19">
        <v>54692</v>
      </c>
      <c r="AE125" s="20">
        <v>-4.4000000000000004</v>
      </c>
      <c r="AF125" s="16">
        <v>117070000</v>
      </c>
      <c r="AG125" s="20">
        <v>0.3</v>
      </c>
      <c r="AH125" s="16">
        <v>11336000</v>
      </c>
      <c r="AI125" s="20">
        <v>0.66</v>
      </c>
      <c r="AJ125" s="7">
        <f t="shared" ref="AJ125:AK216" si="16">C125</f>
        <v>1397386.1</v>
      </c>
      <c r="AK125" s="27">
        <f t="shared" si="16"/>
        <v>-1.5038997132532428E-2</v>
      </c>
    </row>
    <row r="126" spans="1:37" ht="22.5" x14ac:dyDescent="0.55000000000000004">
      <c r="A126" s="7" t="s">
        <v>403</v>
      </c>
      <c r="B126" s="25">
        <v>0.55972222222222223</v>
      </c>
      <c r="C126" s="7">
        <v>1437446.4</v>
      </c>
      <c r="D126" s="27">
        <f t="shared" si="13"/>
        <v>2.8668025250859319E-2</v>
      </c>
      <c r="E126" s="7">
        <v>402175.64</v>
      </c>
      <c r="F126" s="27">
        <f t="shared" si="6"/>
        <v>2.391672685066526E-2</v>
      </c>
      <c r="G126" s="9">
        <v>57758512.148000002</v>
      </c>
      <c r="H126" s="9">
        <v>49606.745999999999</v>
      </c>
      <c r="I126" s="24">
        <f t="shared" si="14"/>
        <v>49.606746000000001</v>
      </c>
      <c r="J126" s="24">
        <f t="shared" si="10"/>
        <v>51.526831999999999</v>
      </c>
      <c r="K126" s="11">
        <v>11478468.596000001</v>
      </c>
      <c r="L126" s="11">
        <v>3659030.62</v>
      </c>
      <c r="M126" s="11">
        <v>28684.780999999999</v>
      </c>
      <c r="N126" s="13"/>
      <c r="O126" s="13">
        <f>338+185</f>
        <v>523</v>
      </c>
      <c r="P126" s="13">
        <f>56+65</f>
        <v>121</v>
      </c>
      <c r="Q126" s="13">
        <v>201</v>
      </c>
      <c r="R126" s="23">
        <v>10.7</v>
      </c>
      <c r="S126" s="13">
        <v>62</v>
      </c>
      <c r="T126" s="23">
        <v>2.8</v>
      </c>
      <c r="U126" s="15" t="s">
        <v>404</v>
      </c>
      <c r="V126" s="15" t="s">
        <v>405</v>
      </c>
      <c r="W126" s="24">
        <v>5.48</v>
      </c>
      <c r="X126" s="24"/>
      <c r="Y126" s="24"/>
      <c r="Z126" s="24"/>
      <c r="AA126" s="16">
        <v>266270</v>
      </c>
      <c r="AB126" s="17">
        <f t="shared" si="12"/>
        <v>273.76727143125402</v>
      </c>
      <c r="AC126" s="27">
        <f t="shared" si="15"/>
        <v>3.8075850109327014E-3</v>
      </c>
      <c r="AD126" s="19">
        <v>61408</v>
      </c>
      <c r="AE126" s="20">
        <v>3.69</v>
      </c>
      <c r="AF126" s="16">
        <v>117830000</v>
      </c>
      <c r="AG126" s="20">
        <v>0.39</v>
      </c>
      <c r="AH126" s="16">
        <v>11423000</v>
      </c>
      <c r="AI126" s="20">
        <v>0.06</v>
      </c>
      <c r="AJ126" s="7">
        <f t="shared" si="16"/>
        <v>1437446.4</v>
      </c>
      <c r="AK126" s="27">
        <f t="shared" si="16"/>
        <v>2.8668025250859319E-2</v>
      </c>
    </row>
    <row r="127" spans="1:37" ht="22.5" x14ac:dyDescent="0.55000000000000004">
      <c r="A127" s="7" t="s">
        <v>406</v>
      </c>
      <c r="B127" s="25">
        <v>0.55555555555555558</v>
      </c>
      <c r="C127" s="7">
        <v>1436068.07</v>
      </c>
      <c r="D127" s="27">
        <f t="shared" si="13"/>
        <v>-9.5887401436312025E-4</v>
      </c>
      <c r="E127" s="7">
        <v>398302.51</v>
      </c>
      <c r="F127" s="27">
        <f t="shared" si="6"/>
        <v>-9.6304440517580581E-3</v>
      </c>
      <c r="G127" s="9">
        <v>57705217.704000004</v>
      </c>
      <c r="H127" s="9">
        <v>43277.233999999997</v>
      </c>
      <c r="I127" s="24">
        <f t="shared" si="14"/>
        <v>43.277234</v>
      </c>
      <c r="J127" s="24">
        <f t="shared" si="10"/>
        <v>48.943185555555566</v>
      </c>
      <c r="K127" s="11">
        <v>11398611.693</v>
      </c>
      <c r="L127" s="11">
        <v>3660279.3560000001</v>
      </c>
      <c r="M127" s="11">
        <v>23598.434000000001</v>
      </c>
      <c r="N127" s="13"/>
      <c r="O127" s="13">
        <f>103+75</f>
        <v>178</v>
      </c>
      <c r="P127" s="13">
        <f>280+176</f>
        <v>456</v>
      </c>
      <c r="Q127" s="13">
        <v>56</v>
      </c>
      <c r="R127" s="23">
        <v>4.1399999999999997</v>
      </c>
      <c r="S127" s="13">
        <v>196</v>
      </c>
      <c r="T127" s="23">
        <v>4.53</v>
      </c>
      <c r="U127" s="15" t="s">
        <v>407</v>
      </c>
      <c r="V127" s="15" t="s">
        <v>408</v>
      </c>
      <c r="W127" s="24">
        <v>-5.78</v>
      </c>
      <c r="X127" s="24"/>
      <c r="Y127" s="24"/>
      <c r="Z127" s="24"/>
      <c r="AA127" s="16">
        <v>265877</v>
      </c>
      <c r="AB127" s="17">
        <f t="shared" si="12"/>
        <v>273.67583037645227</v>
      </c>
      <c r="AC127" s="27">
        <f t="shared" si="15"/>
        <v>-1.4759454688849649E-3</v>
      </c>
      <c r="AD127" s="19">
        <v>61134</v>
      </c>
      <c r="AE127" s="20">
        <v>-0.64</v>
      </c>
      <c r="AF127" s="16">
        <v>117060000</v>
      </c>
      <c r="AG127" s="20">
        <v>-0.91</v>
      </c>
      <c r="AH127" s="16">
        <v>11412000</v>
      </c>
      <c r="AI127" s="20">
        <v>-0.36</v>
      </c>
      <c r="AJ127" s="7">
        <f t="shared" si="16"/>
        <v>1436068.07</v>
      </c>
      <c r="AK127" s="27">
        <f t="shared" si="16"/>
        <v>-9.5887401436312025E-4</v>
      </c>
    </row>
    <row r="128" spans="1:37" ht="22.5" x14ac:dyDescent="0.55000000000000004">
      <c r="A128" s="7" t="s">
        <v>409</v>
      </c>
      <c r="B128" s="25">
        <v>0.55555555555555558</v>
      </c>
      <c r="C128" s="7">
        <v>1436962.44</v>
      </c>
      <c r="D128" s="27">
        <f t="shared" si="13"/>
        <v>6.2279081241589651E-4</v>
      </c>
      <c r="E128" s="7">
        <v>393963.13</v>
      </c>
      <c r="F128" s="27">
        <f t="shared" si="6"/>
        <v>-1.0894684043040614E-2</v>
      </c>
      <c r="G128" s="9">
        <v>57564646.452</v>
      </c>
      <c r="H128" s="9">
        <v>53243.887999999999</v>
      </c>
      <c r="I128" s="24">
        <f t="shared" si="14"/>
        <v>53.243887999999998</v>
      </c>
      <c r="J128" s="24">
        <f t="shared" si="10"/>
        <v>49.038742222222226</v>
      </c>
      <c r="K128" s="11">
        <v>11338651.886</v>
      </c>
      <c r="L128" s="11">
        <v>3658867.08</v>
      </c>
      <c r="M128" s="11">
        <v>471249.37300000002</v>
      </c>
      <c r="N128" s="13"/>
      <c r="O128" s="13">
        <f>170+102</f>
        <v>272</v>
      </c>
      <c r="P128" s="13">
        <f>216+181</f>
        <v>397</v>
      </c>
      <c r="Q128" s="13">
        <v>53</v>
      </c>
      <c r="R128" s="23">
        <v>1.8</v>
      </c>
      <c r="S128" s="13">
        <v>129</v>
      </c>
      <c r="T128" s="23">
        <v>3.5</v>
      </c>
      <c r="U128" s="15" t="s">
        <v>410</v>
      </c>
      <c r="V128" s="15" t="s">
        <v>411</v>
      </c>
      <c r="W128" s="24">
        <v>-7.11</v>
      </c>
      <c r="X128" s="24"/>
      <c r="Y128" s="24"/>
      <c r="Z128" s="24"/>
      <c r="AA128" s="16">
        <v>265372</v>
      </c>
      <c r="AB128" s="17">
        <f t="shared" si="12"/>
        <v>273.43565040019291</v>
      </c>
      <c r="AC128" s="27">
        <f t="shared" si="15"/>
        <v>-1.8993745228056413E-3</v>
      </c>
      <c r="AD128" s="19">
        <v>61699</v>
      </c>
      <c r="AE128" s="20">
        <v>0.89</v>
      </c>
      <c r="AF128" s="16">
        <v>115610000</v>
      </c>
      <c r="AG128" s="20">
        <v>-0.26</v>
      </c>
      <c r="AH128" s="16">
        <v>11419000</v>
      </c>
      <c r="AI128" s="20">
        <v>0.06</v>
      </c>
      <c r="AJ128" s="7">
        <f t="shared" si="16"/>
        <v>1436962.44</v>
      </c>
      <c r="AK128" s="27">
        <f t="shared" si="16"/>
        <v>6.2279081241589651E-4</v>
      </c>
    </row>
    <row r="129" spans="1:37" ht="22.5" x14ac:dyDescent="0.55000000000000004">
      <c r="A129" s="7" t="s">
        <v>412</v>
      </c>
      <c r="B129" s="25">
        <v>0.58124999999999993</v>
      </c>
      <c r="C129" s="7">
        <v>1449496.9</v>
      </c>
      <c r="D129" s="27">
        <f t="shared" si="13"/>
        <v>8.7228863128809841E-3</v>
      </c>
      <c r="E129" s="7">
        <v>398347.56</v>
      </c>
      <c r="F129" s="27">
        <f t="shared" si="6"/>
        <v>1.1129036364392775E-2</v>
      </c>
      <c r="G129" s="9">
        <v>58068526.564999998</v>
      </c>
      <c r="H129" s="9">
        <v>47752.506000000001</v>
      </c>
      <c r="I129" s="24">
        <f t="shared" si="14"/>
        <v>47.752506000000004</v>
      </c>
      <c r="J129" s="24">
        <f t="shared" si="10"/>
        <v>47.941075111111111</v>
      </c>
      <c r="K129" s="11">
        <v>11379205.314999999</v>
      </c>
      <c r="L129" s="11">
        <v>3671651.6150000002</v>
      </c>
      <c r="M129" s="11">
        <v>31447.964</v>
      </c>
      <c r="N129" s="13"/>
      <c r="O129" s="13">
        <f>284+155</f>
        <v>439</v>
      </c>
      <c r="P129" s="13">
        <f>88+96</f>
        <v>184</v>
      </c>
      <c r="Q129" s="13">
        <v>127</v>
      </c>
      <c r="R129" s="23">
        <v>3.1</v>
      </c>
      <c r="S129" s="13">
        <v>64</v>
      </c>
      <c r="T129" s="23">
        <v>1.99</v>
      </c>
      <c r="U129" s="15" t="s">
        <v>413</v>
      </c>
      <c r="V129" s="15" t="s">
        <v>414</v>
      </c>
      <c r="W129" s="24">
        <v>-1.86</v>
      </c>
      <c r="X129" s="24"/>
      <c r="Y129" s="24"/>
      <c r="Z129" s="24"/>
      <c r="AA129" s="16">
        <v>267387</v>
      </c>
      <c r="AB129" s="17">
        <f t="shared" si="12"/>
        <v>273.45900696368938</v>
      </c>
      <c r="AC129" s="27">
        <f t="shared" si="15"/>
        <v>7.5931145712433423E-3</v>
      </c>
      <c r="AD129" s="19">
        <v>62275</v>
      </c>
      <c r="AE129" s="20">
        <v>2.42</v>
      </c>
      <c r="AF129" s="16">
        <v>117630000</v>
      </c>
      <c r="AG129" s="20">
        <v>1.7</v>
      </c>
      <c r="AH129" s="16">
        <v>11458000</v>
      </c>
      <c r="AI129" s="20">
        <v>0.77</v>
      </c>
      <c r="AJ129" s="7">
        <f t="shared" si="16"/>
        <v>1449496.9</v>
      </c>
      <c r="AK129" s="27">
        <f t="shared" si="16"/>
        <v>8.7228863128809841E-3</v>
      </c>
    </row>
    <row r="130" spans="1:37" ht="22.5" x14ac:dyDescent="0.55000000000000004">
      <c r="A130" s="7" t="s">
        <v>415</v>
      </c>
      <c r="B130" s="25">
        <v>0.56041666666666667</v>
      </c>
      <c r="C130" s="7">
        <v>1436372.05</v>
      </c>
      <c r="D130" s="27">
        <f t="shared" si="13"/>
        <v>-9.0547623799677179E-3</v>
      </c>
      <c r="E130" s="7">
        <v>397264.48</v>
      </c>
      <c r="F130" s="27">
        <f t="shared" si="6"/>
        <v>-2.7189321807318256E-3</v>
      </c>
      <c r="G130" s="9">
        <v>57354824.498999998</v>
      </c>
      <c r="H130" s="9">
        <v>40588.434999999998</v>
      </c>
      <c r="I130" s="24">
        <f t="shared" si="14"/>
        <v>40.588434999999997</v>
      </c>
      <c r="J130" s="24">
        <f t="shared" si="10"/>
        <v>46.378612888888895</v>
      </c>
      <c r="K130" s="11">
        <v>11305711.838</v>
      </c>
      <c r="L130" s="11">
        <v>3678921.0559999999</v>
      </c>
      <c r="M130" s="11">
        <v>388093.38199999998</v>
      </c>
      <c r="N130" s="13"/>
      <c r="O130" s="13">
        <f>154+153</f>
        <v>307</v>
      </c>
      <c r="P130" s="13">
        <f>233+147</f>
        <v>380</v>
      </c>
      <c r="Q130" s="13">
        <v>74</v>
      </c>
      <c r="R130" s="23">
        <v>2.09</v>
      </c>
      <c r="S130" s="13">
        <v>85</v>
      </c>
      <c r="T130" s="23">
        <v>3.58</v>
      </c>
      <c r="U130" s="15" t="s">
        <v>416</v>
      </c>
      <c r="V130" s="15" t="s">
        <v>417</v>
      </c>
      <c r="W130" s="24">
        <v>-3.24</v>
      </c>
      <c r="X130" s="24"/>
      <c r="Y130" s="24"/>
      <c r="Z130" s="24"/>
      <c r="AA130" s="16">
        <v>267387</v>
      </c>
      <c r="AB130" s="17">
        <f t="shared" si="12"/>
        <v>270.54216320539143</v>
      </c>
      <c r="AC130" s="27">
        <f t="shared" si="15"/>
        <v>0</v>
      </c>
      <c r="AD130" s="19">
        <v>63932</v>
      </c>
      <c r="AE130" s="20">
        <v>2.68</v>
      </c>
      <c r="AF130" s="16">
        <v>117380000</v>
      </c>
      <c r="AG130" s="20">
        <v>-0.25</v>
      </c>
      <c r="AH130" s="16">
        <v>11423000</v>
      </c>
      <c r="AI130" s="20">
        <v>-0.43</v>
      </c>
      <c r="AJ130" s="7">
        <f t="shared" si="16"/>
        <v>1436372.05</v>
      </c>
      <c r="AK130" s="27">
        <f t="shared" si="16"/>
        <v>-9.0547623799677179E-3</v>
      </c>
    </row>
    <row r="131" spans="1:37" ht="22.5" x14ac:dyDescent="0.55000000000000004">
      <c r="A131" s="7" t="s">
        <v>418</v>
      </c>
      <c r="B131" s="25">
        <v>0.54305555555555551</v>
      </c>
      <c r="C131" s="7">
        <v>1407667.77</v>
      </c>
      <c r="D131" s="27">
        <f t="shared" si="13"/>
        <v>-1.9983875347616253E-2</v>
      </c>
      <c r="E131" s="7">
        <v>388078.56</v>
      </c>
      <c r="F131" s="27">
        <f t="shared" si="6"/>
        <v>-2.3122933114986699E-2</v>
      </c>
      <c r="G131" s="9">
        <v>56209993.108000003</v>
      </c>
      <c r="H131" s="9">
        <v>58140.650999999998</v>
      </c>
      <c r="I131" s="24">
        <f t="shared" si="14"/>
        <v>58.140650999999998</v>
      </c>
      <c r="J131" s="24">
        <f t="shared" si="10"/>
        <v>47.947248333333327</v>
      </c>
      <c r="K131" s="11">
        <v>11143688.073999999</v>
      </c>
      <c r="L131" s="11">
        <v>3658196.6209999998</v>
      </c>
      <c r="M131" s="11">
        <v>97883.904999999999</v>
      </c>
      <c r="N131" s="13"/>
      <c r="O131" s="13">
        <f>58+97</f>
        <v>155</v>
      </c>
      <c r="P131" s="13">
        <f>324+166</f>
        <v>490</v>
      </c>
      <c r="Q131" s="13">
        <v>46</v>
      </c>
      <c r="R131" s="23">
        <v>1.98</v>
      </c>
      <c r="S131" s="13">
        <v>268</v>
      </c>
      <c r="T131" s="23">
        <v>12.36</v>
      </c>
      <c r="U131" s="15" t="s">
        <v>419</v>
      </c>
      <c r="V131" s="15" t="s">
        <v>420</v>
      </c>
      <c r="W131" s="24">
        <v>-7.69</v>
      </c>
      <c r="X131" s="24"/>
      <c r="Y131" s="24"/>
      <c r="Z131" s="24"/>
      <c r="AA131" s="16">
        <v>267910</v>
      </c>
      <c r="AB131" s="17">
        <f t="shared" si="12"/>
        <v>265.05870554663881</v>
      </c>
      <c r="AC131" s="27">
        <f t="shared" si="15"/>
        <v>1.9559664456387793E-3</v>
      </c>
      <c r="AD131" s="19">
        <v>60570</v>
      </c>
      <c r="AE131" s="20">
        <v>-4.5599999999999996</v>
      </c>
      <c r="AF131" s="16">
        <v>119120000</v>
      </c>
      <c r="AG131" s="20">
        <v>0.96</v>
      </c>
      <c r="AH131" s="16">
        <v>11617000</v>
      </c>
      <c r="AI131" s="20">
        <v>1.1100000000000001</v>
      </c>
      <c r="AJ131" s="7">
        <f t="shared" si="16"/>
        <v>1407667.77</v>
      </c>
      <c r="AK131" s="27">
        <f t="shared" si="16"/>
        <v>-1.9983875347616253E-2</v>
      </c>
    </row>
    <row r="132" spans="1:37" ht="22.5" x14ac:dyDescent="0.55000000000000004">
      <c r="A132" s="7" t="s">
        <v>421</v>
      </c>
      <c r="B132" s="25">
        <v>0.54305555555555551</v>
      </c>
      <c r="C132" s="7">
        <v>1384118.25</v>
      </c>
      <c r="D132" s="27">
        <f t="shared" si="13"/>
        <v>-1.6729458826779897E-2</v>
      </c>
      <c r="E132" s="7">
        <v>380157.71</v>
      </c>
      <c r="F132" s="27">
        <f t="shared" si="6"/>
        <v>-2.0410429269784869E-2</v>
      </c>
      <c r="G132" s="9">
        <v>55268539.270000003</v>
      </c>
      <c r="H132" s="9">
        <v>36690.36</v>
      </c>
      <c r="I132" s="24">
        <f t="shared" si="14"/>
        <v>36.690359999999998</v>
      </c>
      <c r="J132" s="24">
        <f t="shared" si="10"/>
        <v>46.430133777777776</v>
      </c>
      <c r="K132" s="11">
        <v>10986818.220000001</v>
      </c>
      <c r="L132" s="11">
        <v>3631182.2579999999</v>
      </c>
      <c r="M132" s="11">
        <v>358721.03</v>
      </c>
      <c r="N132" s="13"/>
      <c r="O132" s="13">
        <f>60+79</f>
        <v>139</v>
      </c>
      <c r="P132" s="13">
        <f>198+323</f>
        <v>521</v>
      </c>
      <c r="Q132" s="13">
        <v>36</v>
      </c>
      <c r="R132" s="23">
        <v>1.5</v>
      </c>
      <c r="S132" s="13">
        <v>267</v>
      </c>
      <c r="T132" s="23">
        <v>8.6999999999999993</v>
      </c>
      <c r="U132" s="15" t="s">
        <v>422</v>
      </c>
      <c r="V132" s="15" t="s">
        <v>423</v>
      </c>
      <c r="W132" s="24">
        <v>-6.75</v>
      </c>
      <c r="X132" s="24"/>
      <c r="Y132" s="24"/>
      <c r="Z132" s="24"/>
      <c r="AA132" s="16">
        <v>269930</v>
      </c>
      <c r="AB132" s="17">
        <f t="shared" si="12"/>
        <v>258.90615992294295</v>
      </c>
      <c r="AC132" s="27">
        <f t="shared" si="15"/>
        <v>7.5398454704938001E-3</v>
      </c>
      <c r="AD132" s="19">
        <v>62822</v>
      </c>
      <c r="AE132" s="20">
        <v>3.4</v>
      </c>
      <c r="AF132" s="16">
        <v>119260000</v>
      </c>
      <c r="AG132" s="20">
        <v>0.08</v>
      </c>
      <c r="AH132" s="16">
        <v>11696000</v>
      </c>
      <c r="AI132" s="20">
        <v>0.57999999999999996</v>
      </c>
      <c r="AJ132" s="7">
        <f t="shared" si="16"/>
        <v>1384118.25</v>
      </c>
      <c r="AK132" s="27">
        <f t="shared" si="16"/>
        <v>-1.6729458826779897E-2</v>
      </c>
    </row>
    <row r="133" spans="1:37" ht="22.5" x14ac:dyDescent="0.55000000000000004">
      <c r="A133" s="7" t="s">
        <v>424</v>
      </c>
      <c r="B133" s="25">
        <v>0.54305555555555551</v>
      </c>
      <c r="C133" s="7">
        <v>1384469.35</v>
      </c>
      <c r="D133" s="27">
        <f t="shared" si="13"/>
        <v>2.5366329791554065E-4</v>
      </c>
      <c r="E133" s="7">
        <v>376526</v>
      </c>
      <c r="F133" s="27">
        <f t="shared" si="6"/>
        <v>-9.5531667633415029E-3</v>
      </c>
      <c r="G133" s="9">
        <v>55280422.829999998</v>
      </c>
      <c r="H133" s="9">
        <v>36476.269999999997</v>
      </c>
      <c r="I133" s="24">
        <f t="shared" si="14"/>
        <v>36.47627</v>
      </c>
      <c r="J133" s="24">
        <f t="shared" si="10"/>
        <v>45.145822333333328</v>
      </c>
      <c r="K133" s="11">
        <v>10984786.810000001</v>
      </c>
      <c r="L133" s="11">
        <v>3602224.67</v>
      </c>
      <c r="M133" s="11">
        <v>31670.29</v>
      </c>
      <c r="N133" s="13"/>
      <c r="O133" s="13">
        <f>123+104</f>
        <v>227</v>
      </c>
      <c r="P133" s="13">
        <f>148+266</f>
        <v>414</v>
      </c>
      <c r="Q133" s="13">
        <v>44</v>
      </c>
      <c r="R133" s="23">
        <v>2.16</v>
      </c>
      <c r="S133" s="13">
        <v>183</v>
      </c>
      <c r="T133" s="23">
        <v>5.24</v>
      </c>
      <c r="U133" s="15" t="s">
        <v>425</v>
      </c>
      <c r="V133" s="15" t="s">
        <v>426</v>
      </c>
      <c r="W133" s="24">
        <v>-4.47</v>
      </c>
      <c r="X133" s="24"/>
      <c r="Y133" s="24"/>
      <c r="Z133" s="24"/>
      <c r="AA133" s="16">
        <v>270274</v>
      </c>
      <c r="AB133" s="17">
        <f t="shared" si="12"/>
        <v>258.505939565034</v>
      </c>
      <c r="AC133" s="27">
        <f t="shared" si="15"/>
        <v>1.2744044752344141E-3</v>
      </c>
      <c r="AD133" s="19">
        <v>62832</v>
      </c>
      <c r="AE133" s="20">
        <v>0.04</v>
      </c>
      <c r="AF133" s="16">
        <v>118470000</v>
      </c>
      <c r="AG133" s="20">
        <v>-0.26</v>
      </c>
      <c r="AH133" s="16">
        <v>11606000</v>
      </c>
      <c r="AI133" s="20">
        <v>-0.73</v>
      </c>
      <c r="AJ133" s="7">
        <f t="shared" si="16"/>
        <v>1384469.35</v>
      </c>
      <c r="AK133" s="27">
        <f t="shared" si="16"/>
        <v>2.5366329791554065E-4</v>
      </c>
    </row>
    <row r="134" spans="1:37" ht="22.5" x14ac:dyDescent="0.55000000000000004">
      <c r="A134" s="7" t="s">
        <v>427</v>
      </c>
      <c r="B134" s="25">
        <v>0.54305555555555551</v>
      </c>
      <c r="C134" s="7">
        <v>1393953.1</v>
      </c>
      <c r="D134" s="27">
        <f t="shared" si="13"/>
        <v>6.8500974759750921E-3</v>
      </c>
      <c r="E134" s="7">
        <v>376470</v>
      </c>
      <c r="F134" s="27">
        <f t="shared" si="6"/>
        <v>-1.4872810908139744E-4</v>
      </c>
      <c r="G134" s="9">
        <v>55665355.490000002</v>
      </c>
      <c r="H134" s="9">
        <v>35607.800000000003</v>
      </c>
      <c r="I134" s="24">
        <f t="shared" si="14"/>
        <v>35.607800000000005</v>
      </c>
      <c r="J134" s="24">
        <f t="shared" si="10"/>
        <v>44.598210000000002</v>
      </c>
      <c r="K134" s="11">
        <v>11061566.77</v>
      </c>
      <c r="L134" s="11">
        <v>3568026.97</v>
      </c>
      <c r="M134" s="11">
        <v>27775.599999999999</v>
      </c>
      <c r="N134" s="13"/>
      <c r="O134" s="13">
        <f>210+138</f>
        <v>348</v>
      </c>
      <c r="P134" s="13">
        <f>111+175</f>
        <v>286</v>
      </c>
      <c r="Q134" s="13">
        <v>74</v>
      </c>
      <c r="R134" s="23">
        <v>2.7</v>
      </c>
      <c r="S134" s="13">
        <v>119</v>
      </c>
      <c r="T134" s="23">
        <v>4.7</v>
      </c>
      <c r="U134" s="15" t="s">
        <v>428</v>
      </c>
      <c r="V134" s="15" t="s">
        <v>429</v>
      </c>
      <c r="W134" s="24">
        <v>-0.22</v>
      </c>
      <c r="X134" s="24"/>
      <c r="Y134" s="24"/>
      <c r="Z134" s="24"/>
      <c r="AA134" s="16">
        <v>268251</v>
      </c>
      <c r="AB134" s="17">
        <f t="shared" si="12"/>
        <v>262.0491600404099</v>
      </c>
      <c r="AC134" s="27">
        <f t="shared" si="15"/>
        <v>-7.4849967070453882E-3</v>
      </c>
      <c r="AD134" s="19">
        <v>59083</v>
      </c>
      <c r="AE134" s="20">
        <v>-5.7</v>
      </c>
      <c r="AF134" s="20">
        <v>119120000</v>
      </c>
      <c r="AG134" s="20">
        <v>0.26</v>
      </c>
      <c r="AH134" s="16">
        <v>11670000</v>
      </c>
      <c r="AI134" s="20">
        <v>0.32</v>
      </c>
      <c r="AJ134" s="7">
        <f t="shared" si="16"/>
        <v>1393953.1</v>
      </c>
      <c r="AK134" s="27">
        <f t="shared" si="16"/>
        <v>6.8500974759750921E-3</v>
      </c>
    </row>
    <row r="135" spans="1:37" ht="22.5" x14ac:dyDescent="0.55000000000000004">
      <c r="A135" s="7" t="s">
        <v>430</v>
      </c>
      <c r="B135" s="25">
        <v>0.54166666666666663</v>
      </c>
      <c r="C135" s="7">
        <v>1375734.2</v>
      </c>
      <c r="D135" s="27">
        <f t="shared" si="13"/>
        <v>-1.3069951923059819E-2</v>
      </c>
      <c r="E135" s="7">
        <v>370426.89</v>
      </c>
      <c r="F135" s="27">
        <f t="shared" si="6"/>
        <v>-1.6052036018806226E-2</v>
      </c>
      <c r="G135" s="9">
        <v>54934925.873999998</v>
      </c>
      <c r="H135" s="9">
        <v>36115.517</v>
      </c>
      <c r="I135" s="24">
        <f t="shared" si="14"/>
        <v>36.115516999999997</v>
      </c>
      <c r="J135" s="24">
        <f t="shared" si="10"/>
        <v>43.09918455555556</v>
      </c>
      <c r="K135" s="11">
        <v>10949885.550000001</v>
      </c>
      <c r="L135" s="11">
        <v>3549172.7680000002</v>
      </c>
      <c r="M135" s="11">
        <v>38347.678999999996</v>
      </c>
      <c r="N135" s="13"/>
      <c r="O135" s="13">
        <f>66+92</f>
        <v>158</v>
      </c>
      <c r="P135" s="13">
        <f>159+314</f>
        <v>473</v>
      </c>
      <c r="Q135" s="13">
        <v>36</v>
      </c>
      <c r="R135" s="23">
        <v>1.3560000000000001</v>
      </c>
      <c r="S135" s="13">
        <v>237</v>
      </c>
      <c r="T135" s="23">
        <v>6.4</v>
      </c>
      <c r="U135" s="15" t="s">
        <v>431</v>
      </c>
      <c r="V135" s="15" t="s">
        <v>432</v>
      </c>
      <c r="W135" s="24">
        <v>-9.67</v>
      </c>
      <c r="X135" s="24"/>
      <c r="Y135" s="24"/>
      <c r="Z135" s="24"/>
      <c r="AA135" s="16">
        <v>268516</v>
      </c>
      <c r="AB135" s="17">
        <f t="shared" si="12"/>
        <v>258.58415957335876</v>
      </c>
      <c r="AC135" s="27">
        <f t="shared" si="15"/>
        <v>9.8788075347333582E-4</v>
      </c>
      <c r="AD135" s="19">
        <v>61454</v>
      </c>
      <c r="AE135" s="20">
        <v>0.76</v>
      </c>
      <c r="AF135" s="16">
        <v>118360000</v>
      </c>
      <c r="AG135" s="20">
        <v>-0.56000000000000005</v>
      </c>
      <c r="AH135" s="16">
        <v>11666000</v>
      </c>
      <c r="AI135" s="20">
        <v>-0.43</v>
      </c>
      <c r="AJ135" s="7">
        <f t="shared" si="16"/>
        <v>1375734.2</v>
      </c>
      <c r="AK135" s="27">
        <f t="shared" si="16"/>
        <v>-1.3069951923059819E-2</v>
      </c>
    </row>
    <row r="136" spans="1:37" ht="22.5" x14ac:dyDescent="0.55000000000000004">
      <c r="A136" s="7" t="s">
        <v>433</v>
      </c>
      <c r="B136" s="25">
        <v>0.54513888888888895</v>
      </c>
      <c r="C136" s="7">
        <v>1340290.8</v>
      </c>
      <c r="D136" s="27">
        <f t="shared" si="13"/>
        <v>-2.5763261537003257E-2</v>
      </c>
      <c r="E136" s="7">
        <v>359979.56</v>
      </c>
      <c r="F136" s="27">
        <f t="shared" si="6"/>
        <v>-2.8203487063263699E-2</v>
      </c>
      <c r="G136" s="9">
        <v>53520771.553999998</v>
      </c>
      <c r="H136" s="9">
        <v>37793.834999999999</v>
      </c>
      <c r="I136" s="24">
        <f t="shared" si="14"/>
        <v>37.793835000000001</v>
      </c>
      <c r="J136" s="24">
        <f t="shared" si="10"/>
        <v>42.489918000000003</v>
      </c>
      <c r="K136" s="11">
        <v>10739050.936000001</v>
      </c>
      <c r="L136" s="11">
        <v>3513507.764</v>
      </c>
      <c r="M136" s="11">
        <v>22807.233</v>
      </c>
      <c r="N136" s="13"/>
      <c r="O136" s="13">
        <f>30+82</f>
        <v>112</v>
      </c>
      <c r="P136" s="13">
        <f>353+167</f>
        <v>520</v>
      </c>
      <c r="Q136" s="13">
        <v>20</v>
      </c>
      <c r="R136" s="23">
        <v>0.85</v>
      </c>
      <c r="S136" s="13">
        <v>358</v>
      </c>
      <c r="T136" s="23">
        <v>10.88</v>
      </c>
      <c r="U136" s="15" t="s">
        <v>434</v>
      </c>
      <c r="V136" s="15" t="s">
        <v>435</v>
      </c>
      <c r="W136" s="24">
        <v>-13.89</v>
      </c>
      <c r="X136" s="24"/>
      <c r="Y136" s="24"/>
      <c r="Z136" s="24"/>
      <c r="AA136" s="16">
        <v>266312</v>
      </c>
      <c r="AB136" s="17">
        <f t="shared" si="12"/>
        <v>254.48845810177534</v>
      </c>
      <c r="AC136" s="27">
        <f t="shared" si="15"/>
        <v>-8.2080769861013758E-3</v>
      </c>
      <c r="AD136" s="19">
        <v>60885</v>
      </c>
      <c r="AE136" s="20">
        <v>-0.85</v>
      </c>
      <c r="AF136" s="16">
        <v>117620000</v>
      </c>
      <c r="AG136" s="20">
        <v>-0.62</v>
      </c>
      <c r="AH136" s="16">
        <v>11649000</v>
      </c>
      <c r="AI136" s="20">
        <v>-0.14000000000000001</v>
      </c>
      <c r="AJ136" s="7">
        <f t="shared" si="16"/>
        <v>1340290.8</v>
      </c>
      <c r="AK136" s="27">
        <f t="shared" si="16"/>
        <v>-2.5763261537003257E-2</v>
      </c>
    </row>
    <row r="137" spans="1:37" ht="22.5" x14ac:dyDescent="0.55000000000000004">
      <c r="A137" s="7" t="s">
        <v>436</v>
      </c>
      <c r="B137" s="25">
        <v>0.53472222222222221</v>
      </c>
      <c r="C137" s="7">
        <v>1361406.06</v>
      </c>
      <c r="D137" s="27">
        <f t="shared" si="13"/>
        <v>1.5754237811674843E-2</v>
      </c>
      <c r="E137" s="7">
        <v>363105.47</v>
      </c>
      <c r="F137" s="27">
        <f t="shared" si="6"/>
        <v>8.6835763675026101E-3</v>
      </c>
      <c r="G137" s="9">
        <v>54377745.704999998</v>
      </c>
      <c r="H137" s="9">
        <v>32501.722000000002</v>
      </c>
      <c r="I137" s="24">
        <f t="shared" si="14"/>
        <v>32.501722000000001</v>
      </c>
      <c r="J137" s="24">
        <f t="shared" si="10"/>
        <v>40.185232888888891</v>
      </c>
      <c r="K137" s="11">
        <v>10833875.376</v>
      </c>
      <c r="L137" s="11">
        <v>3496811.7310000001</v>
      </c>
      <c r="M137" s="11">
        <v>609948.69999999995</v>
      </c>
      <c r="N137" s="13"/>
      <c r="O137" s="13">
        <f>240+136</f>
        <v>376</v>
      </c>
      <c r="P137" s="13">
        <f>146+144</f>
        <v>290</v>
      </c>
      <c r="Q137" s="13">
        <v>91</v>
      </c>
      <c r="R137" s="23">
        <v>2.4</v>
      </c>
      <c r="S137" s="13">
        <v>130</v>
      </c>
      <c r="T137" s="23">
        <v>3.8</v>
      </c>
      <c r="U137" s="15" t="s">
        <v>437</v>
      </c>
      <c r="V137" s="15" t="s">
        <v>438</v>
      </c>
      <c r="W137" s="24">
        <v>-2.12</v>
      </c>
      <c r="X137" s="24"/>
      <c r="Y137" s="24"/>
      <c r="Z137" s="24"/>
      <c r="AA137" s="16">
        <v>268225</v>
      </c>
      <c r="AB137" s="17">
        <f t="shared" si="12"/>
        <v>256.15968985739585</v>
      </c>
      <c r="AC137" s="27">
        <f t="shared" si="15"/>
        <v>7.1833037940460809E-3</v>
      </c>
      <c r="AD137" s="19">
        <v>62106</v>
      </c>
      <c r="AE137" s="20">
        <v>2.2400000000000002</v>
      </c>
      <c r="AF137" s="16">
        <v>118570000</v>
      </c>
      <c r="AG137" s="20">
        <v>0.24</v>
      </c>
      <c r="AH137" s="16">
        <v>11728000</v>
      </c>
      <c r="AI137" s="20">
        <v>0.38</v>
      </c>
      <c r="AJ137" s="7">
        <f t="shared" si="16"/>
        <v>1361406.06</v>
      </c>
      <c r="AK137" s="27">
        <f t="shared" si="16"/>
        <v>1.5754237811674843E-2</v>
      </c>
    </row>
    <row r="138" spans="1:37" ht="22.5" x14ac:dyDescent="0.55000000000000004">
      <c r="A138" s="7" t="s">
        <v>439</v>
      </c>
      <c r="B138" s="25">
        <v>0.54583333333333328</v>
      </c>
      <c r="C138" s="7">
        <v>1376091.9</v>
      </c>
      <c r="D138" s="27">
        <f t="shared" si="13"/>
        <v>1.0787259166453067E-2</v>
      </c>
      <c r="E138" s="7">
        <v>366626</v>
      </c>
      <c r="F138" s="27">
        <f t="shared" si="6"/>
        <v>9.6956126824530031E-3</v>
      </c>
      <c r="G138" s="9">
        <v>54964442.256999999</v>
      </c>
      <c r="H138" s="9">
        <v>33126.536999999997</v>
      </c>
      <c r="I138" s="24">
        <f t="shared" si="14"/>
        <v>33.126536999999999</v>
      </c>
      <c r="J138" s="24">
        <f t="shared" si="10"/>
        <v>38.560125222222219</v>
      </c>
      <c r="K138" s="11">
        <v>10912840.632999999</v>
      </c>
      <c r="L138" s="11">
        <v>3500795.0720000002</v>
      </c>
      <c r="M138" s="11">
        <v>17635.902999999998</v>
      </c>
      <c r="N138" s="13"/>
      <c r="O138" s="13">
        <f>302+173</f>
        <v>475</v>
      </c>
      <c r="P138" s="13">
        <f>91+86</f>
        <v>177</v>
      </c>
      <c r="Q138" s="13">
        <v>140</v>
      </c>
      <c r="R138" s="23">
        <v>3.2</v>
      </c>
      <c r="S138" s="13">
        <v>70</v>
      </c>
      <c r="T138" s="23">
        <v>3.9</v>
      </c>
      <c r="U138" s="15" t="s">
        <v>440</v>
      </c>
      <c r="V138" s="15" t="s">
        <v>441</v>
      </c>
      <c r="W138" s="24">
        <v>-2.2000000000000002</v>
      </c>
      <c r="X138" s="24"/>
      <c r="Y138" s="24"/>
      <c r="Z138" s="24"/>
      <c r="AA138" s="16">
        <v>268500</v>
      </c>
      <c r="AB138" s="17">
        <f t="shared" si="12"/>
        <v>258.39135181378026</v>
      </c>
      <c r="AC138" s="27">
        <f t="shared" si="15"/>
        <v>1.0252586447945244E-3</v>
      </c>
      <c r="AD138" s="19">
        <v>61698</v>
      </c>
      <c r="AE138" s="20">
        <v>-0.61</v>
      </c>
      <c r="AF138" s="16">
        <v>118040000</v>
      </c>
      <c r="AG138" s="20">
        <v>0.09</v>
      </c>
      <c r="AH138" s="16">
        <v>11677000</v>
      </c>
      <c r="AI138" s="20">
        <v>-0.33</v>
      </c>
      <c r="AJ138" s="7">
        <f t="shared" si="16"/>
        <v>1376091.9</v>
      </c>
      <c r="AK138" s="27">
        <f t="shared" si="16"/>
        <v>1.0787259166453067E-2</v>
      </c>
    </row>
    <row r="139" spans="1:37" ht="22.5" x14ac:dyDescent="0.55000000000000004">
      <c r="A139" s="7" t="s">
        <v>442</v>
      </c>
      <c r="B139" s="25">
        <v>0.54513888888888895</v>
      </c>
      <c r="C139" s="7">
        <v>1398444.93</v>
      </c>
      <c r="D139" s="27">
        <f t="shared" si="13"/>
        <v>1.6243849702189284E-2</v>
      </c>
      <c r="E139" s="7">
        <v>374352.87</v>
      </c>
      <c r="F139" s="27">
        <f t="shared" si="6"/>
        <v>2.1075619295958248E-2</v>
      </c>
      <c r="G139" s="9">
        <v>55858430.056999996</v>
      </c>
      <c r="H139" s="9">
        <v>41410.728999999999</v>
      </c>
      <c r="I139" s="24">
        <f t="shared" si="14"/>
        <v>41.410728999999996</v>
      </c>
      <c r="J139" s="24">
        <f t="shared" si="10"/>
        <v>38.651491222222219</v>
      </c>
      <c r="K139" s="11">
        <v>11086478.585999999</v>
      </c>
      <c r="L139" s="11">
        <v>3521617.1710000001</v>
      </c>
      <c r="M139" s="11">
        <v>22001.787</v>
      </c>
      <c r="N139" s="13"/>
      <c r="O139" s="13">
        <f>377+211</f>
        <v>588</v>
      </c>
      <c r="P139" s="13">
        <f>20+35</f>
        <v>55</v>
      </c>
      <c r="Q139" s="13">
        <v>282</v>
      </c>
      <c r="R139" s="23">
        <v>7.1</v>
      </c>
      <c r="S139" s="13">
        <v>42</v>
      </c>
      <c r="T139" s="23">
        <v>2.99</v>
      </c>
      <c r="U139" s="15" t="s">
        <v>443</v>
      </c>
      <c r="V139" s="15" t="s">
        <v>444</v>
      </c>
      <c r="W139" s="24">
        <v>1.02</v>
      </c>
      <c r="X139" s="24"/>
      <c r="Y139" s="24"/>
      <c r="Z139" s="24"/>
      <c r="AA139" s="16">
        <v>270046</v>
      </c>
      <c r="AB139" s="17">
        <f t="shared" si="12"/>
        <v>260.94267574413249</v>
      </c>
      <c r="AC139" s="27">
        <f t="shared" si="15"/>
        <v>5.7579143389199228E-3</v>
      </c>
      <c r="AD139" s="19">
        <v>63271</v>
      </c>
      <c r="AE139" s="20">
        <v>2.57</v>
      </c>
      <c r="AF139" s="16">
        <v>118520000</v>
      </c>
      <c r="AG139" s="20">
        <v>0.19</v>
      </c>
      <c r="AH139" s="16">
        <v>11710000</v>
      </c>
      <c r="AI139" s="20">
        <v>0.22</v>
      </c>
      <c r="AJ139" s="7">
        <f t="shared" si="16"/>
        <v>1398444.93</v>
      </c>
      <c r="AK139" s="27">
        <f t="shared" si="16"/>
        <v>1.6243849702189284E-2</v>
      </c>
    </row>
    <row r="140" spans="1:37" ht="22.5" x14ac:dyDescent="0.55000000000000004">
      <c r="A140" s="7" t="s">
        <v>445</v>
      </c>
      <c r="B140" s="25">
        <v>0.54791666666666672</v>
      </c>
      <c r="C140" s="7">
        <v>1440638.24</v>
      </c>
      <c r="D140" s="27">
        <f t="shared" si="13"/>
        <v>3.0171592098374722E-2</v>
      </c>
      <c r="E140" s="7">
        <v>386254.38</v>
      </c>
      <c r="F140" s="27">
        <f t="shared" si="6"/>
        <v>3.1792223203738201E-2</v>
      </c>
      <c r="G140" s="9">
        <v>57545441.483999997</v>
      </c>
      <c r="H140" s="9">
        <v>52284.728000000003</v>
      </c>
      <c r="I140" s="24">
        <f t="shared" si="14"/>
        <v>52.284728000000001</v>
      </c>
      <c r="J140" s="24">
        <f t="shared" ref="J140:J203" si="17">AVERAGE(I132:I140)</f>
        <v>38.00083311111112</v>
      </c>
      <c r="K140" s="11">
        <v>11369880.48</v>
      </c>
      <c r="L140" s="11">
        <v>3560992.0430000001</v>
      </c>
      <c r="M140" s="11">
        <v>26928.206999999999</v>
      </c>
      <c r="N140" s="13"/>
      <c r="O140" s="13">
        <f>212+376</f>
        <v>588</v>
      </c>
      <c r="P140" s="13">
        <f>21+26</f>
        <v>47</v>
      </c>
      <c r="Q140" s="13">
        <v>258</v>
      </c>
      <c r="R140" s="23">
        <v>7.7</v>
      </c>
      <c r="S140" s="13">
        <v>33</v>
      </c>
      <c r="T140" s="23">
        <v>2.9</v>
      </c>
      <c r="U140" s="15" t="s">
        <v>446</v>
      </c>
      <c r="V140" s="15" t="s">
        <v>447</v>
      </c>
      <c r="W140" s="24">
        <v>4.78</v>
      </c>
      <c r="X140" s="24"/>
      <c r="Y140" s="24"/>
      <c r="Z140" s="24"/>
      <c r="AA140" s="16">
        <v>271191</v>
      </c>
      <c r="AB140" s="17">
        <f t="shared" si="12"/>
        <v>267.25191472799611</v>
      </c>
      <c r="AC140" s="27">
        <f t="shared" si="15"/>
        <v>4.2400183672410829E-3</v>
      </c>
      <c r="AD140" s="19">
        <v>61229</v>
      </c>
      <c r="AE140" s="20">
        <v>-0.92</v>
      </c>
      <c r="AF140" s="16">
        <v>119720000</v>
      </c>
      <c r="AG140" s="20">
        <v>1.17</v>
      </c>
      <c r="AH140" s="16">
        <v>11931000</v>
      </c>
      <c r="AI140" s="20">
        <v>2.11</v>
      </c>
      <c r="AJ140" s="7">
        <f t="shared" si="16"/>
        <v>1440638.24</v>
      </c>
      <c r="AK140" s="27">
        <f t="shared" si="16"/>
        <v>3.0171592098374722E-2</v>
      </c>
    </row>
    <row r="141" spans="1:37" ht="22.5" x14ac:dyDescent="0.55000000000000004">
      <c r="A141" s="7" t="s">
        <v>448</v>
      </c>
      <c r="B141" s="25">
        <v>0.53333333333333333</v>
      </c>
      <c r="C141" s="7">
        <v>1430962.93</v>
      </c>
      <c r="D141" s="27">
        <f t="shared" si="13"/>
        <v>-6.7159886023850923E-3</v>
      </c>
      <c r="E141" s="7">
        <v>384697.37</v>
      </c>
      <c r="F141" s="27">
        <f t="shared" si="6"/>
        <v>-4.0310481398295739E-3</v>
      </c>
      <c r="G141" s="9">
        <v>57180631.917000003</v>
      </c>
      <c r="H141" s="9">
        <v>78328.929000000004</v>
      </c>
      <c r="I141" s="24">
        <f t="shared" si="14"/>
        <v>78.328929000000002</v>
      </c>
      <c r="J141" s="24">
        <f t="shared" si="17"/>
        <v>42.627340777777782</v>
      </c>
      <c r="K141" s="11">
        <v>11297852.036</v>
      </c>
      <c r="L141" s="11">
        <v>3563986.2250000001</v>
      </c>
      <c r="M141" s="11">
        <v>29210.526999999998</v>
      </c>
      <c r="N141" s="13"/>
      <c r="O141" s="13">
        <f>111+103</f>
        <v>214</v>
      </c>
      <c r="P141" s="13">
        <f>274+147</f>
        <v>421</v>
      </c>
      <c r="Q141" s="13">
        <v>63</v>
      </c>
      <c r="R141" s="23">
        <v>2.6</v>
      </c>
      <c r="S141" s="13">
        <v>128</v>
      </c>
      <c r="T141" s="23">
        <v>2.6</v>
      </c>
      <c r="U141" s="15" t="s">
        <v>449</v>
      </c>
      <c r="V141" s="15" t="s">
        <v>450</v>
      </c>
      <c r="W141" s="24">
        <v>-4.96</v>
      </c>
      <c r="X141" s="24"/>
      <c r="Y141" s="24"/>
      <c r="Z141" s="24"/>
      <c r="AA141" s="16">
        <v>270737</v>
      </c>
      <c r="AB141" s="17">
        <f t="shared" si="12"/>
        <v>266.09761568607172</v>
      </c>
      <c r="AC141" s="27">
        <f t="shared" si="15"/>
        <v>-1.6740968542466872E-3</v>
      </c>
      <c r="AD141" s="19">
        <v>61599</v>
      </c>
      <c r="AE141" s="20">
        <v>0.76</v>
      </c>
      <c r="AF141" s="16">
        <v>120820000</v>
      </c>
      <c r="AG141" s="20">
        <v>0.48</v>
      </c>
      <c r="AH141" s="16">
        <v>11954000</v>
      </c>
      <c r="AI141" s="20">
        <v>-0.18</v>
      </c>
      <c r="AJ141" s="7">
        <f t="shared" si="16"/>
        <v>1430962.93</v>
      </c>
      <c r="AK141" s="27">
        <f t="shared" si="16"/>
        <v>-6.7159886023850923E-3</v>
      </c>
    </row>
    <row r="142" spans="1:37" ht="22.5" x14ac:dyDescent="0.55000000000000004">
      <c r="A142" s="7" t="s">
        <v>451</v>
      </c>
      <c r="B142" s="25">
        <v>0.56388888888888888</v>
      </c>
      <c r="C142" s="7">
        <v>1434392.54</v>
      </c>
      <c r="D142" s="27">
        <f t="shared" si="13"/>
        <v>2.3967147772305797E-3</v>
      </c>
      <c r="E142" s="7">
        <v>384929.9</v>
      </c>
      <c r="F142" s="27">
        <f t="shared" si="6"/>
        <v>6.044491544094921E-4</v>
      </c>
      <c r="G142" s="9">
        <v>57319166.792999998</v>
      </c>
      <c r="H142" s="9">
        <v>58099.243999999999</v>
      </c>
      <c r="I142" s="24">
        <f t="shared" si="14"/>
        <v>58.099243999999999</v>
      </c>
      <c r="J142" s="24">
        <f t="shared" si="17"/>
        <v>45.029893444444447</v>
      </c>
      <c r="K142" s="11">
        <v>11363674.280999999</v>
      </c>
      <c r="L142" s="11">
        <v>3565773.9730000002</v>
      </c>
      <c r="M142" s="11">
        <v>570465.16700000002</v>
      </c>
      <c r="N142" s="13"/>
      <c r="O142" s="13">
        <f>180+129</f>
        <v>309</v>
      </c>
      <c r="P142" s="13">
        <f>214+146</f>
        <v>360</v>
      </c>
      <c r="Q142" s="13">
        <v>74</v>
      </c>
      <c r="R142" s="23">
        <v>3.2</v>
      </c>
      <c r="S142" s="13">
        <v>86</v>
      </c>
      <c r="T142" s="23">
        <v>4.8</v>
      </c>
      <c r="U142" s="15" t="s">
        <v>452</v>
      </c>
      <c r="V142" s="15" t="s">
        <v>453</v>
      </c>
      <c r="W142" s="24">
        <v>-1.1299999999999999</v>
      </c>
      <c r="X142" s="24"/>
      <c r="Y142" s="24"/>
      <c r="Z142" s="24"/>
      <c r="AA142" s="16">
        <v>274780</v>
      </c>
      <c r="AB142" s="17">
        <f t="shared" si="12"/>
        <v>262.93258260062595</v>
      </c>
      <c r="AC142" s="27">
        <f t="shared" si="15"/>
        <v>1.493331166408729E-2</v>
      </c>
      <c r="AD142" s="19">
        <v>66114</v>
      </c>
      <c r="AE142" s="20">
        <v>6.56</v>
      </c>
      <c r="AF142" s="16">
        <v>121930000</v>
      </c>
      <c r="AG142" s="20">
        <v>-0.11</v>
      </c>
      <c r="AH142" s="16">
        <v>12037000</v>
      </c>
      <c r="AI142" s="20">
        <v>0.19</v>
      </c>
      <c r="AJ142" s="7">
        <f t="shared" si="16"/>
        <v>1434392.54</v>
      </c>
      <c r="AK142" s="27">
        <f t="shared" si="16"/>
        <v>2.3967147772305797E-3</v>
      </c>
    </row>
    <row r="143" spans="1:37" ht="22.5" x14ac:dyDescent="0.55000000000000004">
      <c r="A143" s="7" t="s">
        <v>454</v>
      </c>
      <c r="B143" s="25">
        <v>0.5444444444444444</v>
      </c>
      <c r="C143" s="7">
        <v>1447676.63</v>
      </c>
      <c r="D143" s="27">
        <f t="shared" si="13"/>
        <v>9.2611259676516067E-3</v>
      </c>
      <c r="E143" s="7">
        <v>385771</v>
      </c>
      <c r="F143" s="27">
        <f t="shared" si="6"/>
        <v>2.1850731782591115E-3</v>
      </c>
      <c r="G143" s="9">
        <v>57850651.931000002</v>
      </c>
      <c r="H143" s="9">
        <v>59899.091</v>
      </c>
      <c r="I143" s="24">
        <f t="shared" si="14"/>
        <v>59.899090999999999</v>
      </c>
      <c r="J143" s="24">
        <f t="shared" si="17"/>
        <v>47.728925777777782</v>
      </c>
      <c r="K143" s="11">
        <v>11488313.863</v>
      </c>
      <c r="L143" s="11">
        <v>3577532.8110000002</v>
      </c>
      <c r="M143" s="11">
        <v>113797.74800000001</v>
      </c>
      <c r="N143" s="13"/>
      <c r="O143" s="13">
        <f>196+150</f>
        <v>346</v>
      </c>
      <c r="P143" s="13">
        <f>103+193</f>
        <v>296</v>
      </c>
      <c r="Q143" s="13">
        <v>86</v>
      </c>
      <c r="R143" s="23">
        <v>4.5</v>
      </c>
      <c r="S143" s="13">
        <v>84</v>
      </c>
      <c r="T143" s="23">
        <v>2.6</v>
      </c>
      <c r="U143" s="15" t="s">
        <v>455</v>
      </c>
      <c r="V143" s="15" t="s">
        <v>456</v>
      </c>
      <c r="W143" s="24">
        <v>0.53</v>
      </c>
      <c r="X143" s="24"/>
      <c r="Y143" s="24"/>
      <c r="Z143" s="24"/>
      <c r="AA143" s="16">
        <v>274864</v>
      </c>
      <c r="AB143" s="17">
        <f t="shared" si="12"/>
        <v>265.2820980739566</v>
      </c>
      <c r="AC143" s="27">
        <f t="shared" si="15"/>
        <v>3.0569910473832174E-4</v>
      </c>
      <c r="AD143" s="19">
        <v>67964</v>
      </c>
      <c r="AE143" s="20">
        <v>2.74</v>
      </c>
      <c r="AF143" s="16">
        <v>122020000</v>
      </c>
      <c r="AG143" s="20">
        <v>0.61</v>
      </c>
      <c r="AH143" s="16">
        <v>12118000</v>
      </c>
      <c r="AI143" s="20">
        <v>0.67</v>
      </c>
      <c r="AJ143" s="7">
        <f t="shared" si="16"/>
        <v>1447676.63</v>
      </c>
      <c r="AK143" s="27">
        <f t="shared" si="16"/>
        <v>9.2611259676516067E-3</v>
      </c>
    </row>
    <row r="144" spans="1:37" ht="22.5" x14ac:dyDescent="0.55000000000000004">
      <c r="A144" s="7" t="s">
        <v>457</v>
      </c>
      <c r="B144" s="25">
        <v>0.53472222222222221</v>
      </c>
      <c r="C144" s="7">
        <v>1456530.56</v>
      </c>
      <c r="D144" s="27">
        <f t="shared" si="13"/>
        <v>6.1159583684100571E-3</v>
      </c>
      <c r="E144" s="7">
        <v>391284</v>
      </c>
      <c r="F144" s="27">
        <f t="shared" si="6"/>
        <v>1.4290861677005218E-2</v>
      </c>
      <c r="G144" s="9">
        <v>58203684.659999996</v>
      </c>
      <c r="H144" s="9">
        <v>52348.307999999997</v>
      </c>
      <c r="I144" s="24">
        <f t="shared" si="14"/>
        <v>52.348307999999996</v>
      </c>
      <c r="J144" s="24">
        <f t="shared" si="17"/>
        <v>49.532569222222222</v>
      </c>
      <c r="K144" s="11">
        <v>11529991.909</v>
      </c>
      <c r="L144" s="11">
        <v>3606947.4470000002</v>
      </c>
      <c r="M144" s="11">
        <v>20054.562999999998</v>
      </c>
      <c r="N144" s="13"/>
      <c r="O144" s="13">
        <f>309+200</f>
        <v>509</v>
      </c>
      <c r="P144" s="13">
        <f>70+45</f>
        <v>115</v>
      </c>
      <c r="Q144" s="13">
        <v>186</v>
      </c>
      <c r="R144" s="23">
        <v>8.1999999999999993</v>
      </c>
      <c r="S144" s="13">
        <v>43</v>
      </c>
      <c r="T144" s="23">
        <v>2.5</v>
      </c>
      <c r="U144" s="15" t="s">
        <v>458</v>
      </c>
      <c r="V144" s="15" t="s">
        <v>459</v>
      </c>
      <c r="W144" s="24">
        <v>-0.09</v>
      </c>
      <c r="X144" s="24"/>
      <c r="Y144" s="24"/>
      <c r="Z144" s="24"/>
      <c r="AA144" s="16">
        <v>275874</v>
      </c>
      <c r="AB144" s="17">
        <f t="shared" si="12"/>
        <v>265.8482641205768</v>
      </c>
      <c r="AC144" s="27">
        <f t="shared" si="15"/>
        <v>3.6745445020083256E-3</v>
      </c>
      <c r="AD144" s="19">
        <v>66630</v>
      </c>
      <c r="AE144" s="20">
        <v>-1.99</v>
      </c>
      <c r="AF144" s="16">
        <v>122770000</v>
      </c>
      <c r="AG144" s="20">
        <v>0.54</v>
      </c>
      <c r="AH144" s="16">
        <v>12280000</v>
      </c>
      <c r="AI144" s="20">
        <v>1.1000000000000001</v>
      </c>
      <c r="AJ144" s="7">
        <f t="shared" si="16"/>
        <v>1456530.56</v>
      </c>
      <c r="AK144" s="27">
        <f t="shared" si="16"/>
        <v>6.1159583684100571E-3</v>
      </c>
    </row>
    <row r="145" spans="1:37" ht="22.5" x14ac:dyDescent="0.55000000000000004">
      <c r="A145" s="7" t="s">
        <v>460</v>
      </c>
      <c r="B145" s="25">
        <v>0.56597222222222221</v>
      </c>
      <c r="C145" s="7">
        <v>1439177.85</v>
      </c>
      <c r="D145" s="27">
        <f t="shared" si="13"/>
        <v>-1.1913728744558538E-2</v>
      </c>
      <c r="E145" s="7">
        <v>387942.13</v>
      </c>
      <c r="F145" s="27">
        <f t="shared" si="6"/>
        <v>-8.5407785649298518E-3</v>
      </c>
      <c r="G145" s="9">
        <v>57514554.480999999</v>
      </c>
      <c r="H145" s="9">
        <v>43526.425999999999</v>
      </c>
      <c r="I145" s="24">
        <f t="shared" si="14"/>
        <v>43.526426000000001</v>
      </c>
      <c r="J145" s="24">
        <f t="shared" si="17"/>
        <v>50.169523777777776</v>
      </c>
      <c r="K145" s="11">
        <v>11435486.908</v>
      </c>
      <c r="L145" s="11">
        <v>3618391.2009999999</v>
      </c>
      <c r="M145" s="11">
        <v>38960.555</v>
      </c>
      <c r="N145" s="13"/>
      <c r="O145" s="13">
        <f>115+122</f>
        <v>237</v>
      </c>
      <c r="P145" s="13">
        <f>128+266</f>
        <v>394</v>
      </c>
      <c r="Q145" s="13">
        <v>78</v>
      </c>
      <c r="R145" s="23">
        <v>3.09</v>
      </c>
      <c r="S145" s="13">
        <v>125</v>
      </c>
      <c r="T145" s="23">
        <v>6.19</v>
      </c>
      <c r="U145" s="15" t="s">
        <v>461</v>
      </c>
      <c r="V145" s="15" t="s">
        <v>462</v>
      </c>
      <c r="W145" s="24">
        <v>-4.07</v>
      </c>
      <c r="X145" s="24"/>
      <c r="Y145" s="24"/>
      <c r="Z145" s="24"/>
      <c r="AA145" s="16">
        <v>279818</v>
      </c>
      <c r="AB145" s="17">
        <f t="shared" si="12"/>
        <v>259.34154554031551</v>
      </c>
      <c r="AC145" s="27">
        <f t="shared" si="15"/>
        <v>1.4296381681492276E-2</v>
      </c>
      <c r="AD145" s="19">
        <v>63485</v>
      </c>
      <c r="AE145" s="20">
        <v>-0.55000000000000004</v>
      </c>
      <c r="AF145" s="16">
        <v>126970000</v>
      </c>
      <c r="AG145" s="20">
        <v>0.57999999999999996</v>
      </c>
      <c r="AH145" s="16">
        <v>12765000</v>
      </c>
      <c r="AI145" s="20">
        <v>1</v>
      </c>
      <c r="AJ145" s="7">
        <f t="shared" si="16"/>
        <v>1439177.85</v>
      </c>
      <c r="AK145" s="27">
        <f t="shared" si="16"/>
        <v>-1.1913728744558538E-2</v>
      </c>
    </row>
    <row r="146" spans="1:37" ht="22.5" x14ac:dyDescent="0.55000000000000004">
      <c r="A146" s="7" t="s">
        <v>463</v>
      </c>
      <c r="B146" s="25">
        <v>0.54166666666666663</v>
      </c>
      <c r="C146" s="7">
        <v>1442586.81</v>
      </c>
      <c r="D146" s="27">
        <f t="shared" si="13"/>
        <v>2.3686857048279553E-3</v>
      </c>
      <c r="E146" s="7">
        <v>388999.29</v>
      </c>
      <c r="F146" s="27">
        <f t="shared" si="6"/>
        <v>2.7250456144063406E-3</v>
      </c>
      <c r="G146" s="9">
        <v>57645638.840000004</v>
      </c>
      <c r="H146" s="9">
        <v>55715.91</v>
      </c>
      <c r="I146" s="24">
        <f t="shared" si="14"/>
        <v>55.715910000000001</v>
      </c>
      <c r="J146" s="24">
        <f t="shared" si="17"/>
        <v>52.748877999999998</v>
      </c>
      <c r="K146" s="11">
        <v>11464230.833000001</v>
      </c>
      <c r="L146" s="11">
        <v>3622988.2540000002</v>
      </c>
      <c r="M146" s="11">
        <v>90715.626999999993</v>
      </c>
      <c r="N146" s="13"/>
      <c r="O146" s="13">
        <f>168+124</f>
        <v>292</v>
      </c>
      <c r="P146" s="13">
        <f>119+212</f>
        <v>331</v>
      </c>
      <c r="Q146" s="13">
        <v>80</v>
      </c>
      <c r="R146" s="23">
        <v>2.56</v>
      </c>
      <c r="S146" s="13">
        <v>62</v>
      </c>
      <c r="T146" s="23">
        <v>2.33</v>
      </c>
      <c r="U146" s="15" t="s">
        <v>464</v>
      </c>
      <c r="V146" s="15" t="s">
        <v>465</v>
      </c>
      <c r="W146" s="24">
        <v>-2.82</v>
      </c>
      <c r="X146" s="24"/>
      <c r="Y146" s="24"/>
      <c r="Z146" s="24"/>
      <c r="AA146" s="16">
        <v>275692</v>
      </c>
      <c r="AB146" s="17">
        <f t="shared" si="12"/>
        <v>263.81925455580864</v>
      </c>
      <c r="AC146" s="27">
        <f t="shared" si="15"/>
        <v>-1.4745298729888723E-2</v>
      </c>
      <c r="AD146" s="19">
        <v>64200</v>
      </c>
      <c r="AE146" s="20">
        <v>1.1499999999999999</v>
      </c>
      <c r="AF146" s="16">
        <v>126270000</v>
      </c>
      <c r="AG146" s="20">
        <v>-0.15</v>
      </c>
      <c r="AH146" s="16">
        <v>12746000</v>
      </c>
      <c r="AI146" s="20">
        <v>-0.2</v>
      </c>
      <c r="AJ146" s="7">
        <f t="shared" si="16"/>
        <v>1442586.81</v>
      </c>
      <c r="AK146" s="27">
        <f t="shared" si="16"/>
        <v>2.3686857048279553E-3</v>
      </c>
    </row>
    <row r="147" spans="1:37" ht="22.5" x14ac:dyDescent="0.55000000000000004">
      <c r="A147" s="7" t="s">
        <v>466</v>
      </c>
      <c r="B147" s="25">
        <v>0.54166666666666663</v>
      </c>
      <c r="C147" s="7">
        <v>1416298.7</v>
      </c>
      <c r="D147" s="27">
        <f t="shared" si="13"/>
        <v>-1.8222896409263667E-2</v>
      </c>
      <c r="E147" s="7">
        <v>384885.78</v>
      </c>
      <c r="F147" s="27">
        <f t="shared" si="6"/>
        <v>-1.0574595136150333E-2</v>
      </c>
      <c r="G147" s="9">
        <v>56597101.865000002</v>
      </c>
      <c r="H147" s="9">
        <v>41290.347999999998</v>
      </c>
      <c r="I147" s="24">
        <f t="shared" si="14"/>
        <v>41.290348000000002</v>
      </c>
      <c r="J147" s="24">
        <f t="shared" si="17"/>
        <v>53.655968111111108</v>
      </c>
      <c r="K147" s="11">
        <v>11329252.346000001</v>
      </c>
      <c r="L147" s="11">
        <v>3610756.2680000002</v>
      </c>
      <c r="M147" s="11">
        <v>685156.75600000005</v>
      </c>
      <c r="N147" s="13"/>
      <c r="O147" s="13">
        <f>89+83</f>
        <v>172</v>
      </c>
      <c r="P147" s="13">
        <f>199+305</f>
        <v>504</v>
      </c>
      <c r="Q147" s="13">
        <f>72</f>
        <v>72</v>
      </c>
      <c r="R147" s="23">
        <v>2.65</v>
      </c>
      <c r="S147" s="13">
        <v>162</v>
      </c>
      <c r="T147" s="23">
        <v>4.76</v>
      </c>
      <c r="U147" s="15" t="s">
        <v>467</v>
      </c>
      <c r="V147" s="15" t="s">
        <v>468</v>
      </c>
      <c r="W147" s="24">
        <v>-5.47</v>
      </c>
      <c r="X147" s="24"/>
      <c r="Y147" s="24"/>
      <c r="Z147" s="24"/>
      <c r="AA147" s="16">
        <v>269800</v>
      </c>
      <c r="AB147" s="17">
        <f t="shared" si="12"/>
        <v>265.14866745366942</v>
      </c>
      <c r="AC147" s="27">
        <f t="shared" si="15"/>
        <v>-2.1371675638030885E-2</v>
      </c>
      <c r="AD147" s="19">
        <v>66203</v>
      </c>
      <c r="AE147" s="20">
        <v>2.95</v>
      </c>
      <c r="AF147" s="16">
        <v>124870000</v>
      </c>
      <c r="AG147" s="20">
        <v>-1</v>
      </c>
      <c r="AH147" s="16">
        <v>12573000</v>
      </c>
      <c r="AI147" s="20">
        <v>-1.03</v>
      </c>
      <c r="AJ147" s="7">
        <f t="shared" si="16"/>
        <v>1416298.7</v>
      </c>
      <c r="AK147" s="27">
        <f t="shared" si="16"/>
        <v>-1.8222896409263667E-2</v>
      </c>
    </row>
    <row r="148" spans="1:37" ht="22.5" x14ac:dyDescent="0.55000000000000004">
      <c r="A148" s="7" t="s">
        <v>469</v>
      </c>
      <c r="B148" s="25">
        <v>0.5444444444444444</v>
      </c>
      <c r="C148" s="7">
        <v>1408582.79</v>
      </c>
      <c r="D148" s="27">
        <f t="shared" si="13"/>
        <v>-5.4479397601648882E-3</v>
      </c>
      <c r="E148" s="7">
        <v>383946.78</v>
      </c>
      <c r="F148" s="27">
        <f t="shared" si="6"/>
        <v>-2.4396848332510768E-3</v>
      </c>
      <c r="G148" s="9">
        <v>56289141.189000003</v>
      </c>
      <c r="H148" s="9">
        <v>40618.161999999997</v>
      </c>
      <c r="I148" s="24">
        <f t="shared" si="14"/>
        <v>40.618161999999998</v>
      </c>
      <c r="J148" s="24">
        <f t="shared" si="17"/>
        <v>53.567905111111109</v>
      </c>
      <c r="K148" s="11">
        <v>11309869.51</v>
      </c>
      <c r="L148" s="11">
        <v>3614493.892</v>
      </c>
      <c r="M148" s="11">
        <v>44027.249000000003</v>
      </c>
      <c r="N148" s="13"/>
      <c r="O148" s="13">
        <f>154+137</f>
        <v>291</v>
      </c>
      <c r="P148" s="13">
        <f>105+237</f>
        <v>342</v>
      </c>
      <c r="Q148" s="13">
        <v>92</v>
      </c>
      <c r="R148" s="23">
        <v>3.67</v>
      </c>
      <c r="S148" s="13">
        <v>72</v>
      </c>
      <c r="T148" s="23">
        <v>2.97</v>
      </c>
      <c r="U148" s="15" t="s">
        <v>470</v>
      </c>
      <c r="V148" s="15" t="s">
        <v>471</v>
      </c>
      <c r="W148" s="24">
        <v>-0.37</v>
      </c>
      <c r="X148" s="24"/>
      <c r="Y148" s="24"/>
      <c r="Z148" s="24"/>
      <c r="AA148" s="16">
        <v>269005</v>
      </c>
      <c r="AB148" s="17">
        <f t="shared" si="12"/>
        <v>264.72929719150204</v>
      </c>
      <c r="AC148" s="27">
        <f t="shared" si="15"/>
        <v>-2.9466271312083014E-3</v>
      </c>
      <c r="AD148" s="19">
        <v>60535.01</v>
      </c>
      <c r="AE148" s="20">
        <v>-8.36</v>
      </c>
      <c r="AF148" s="16">
        <v>125510000</v>
      </c>
      <c r="AG148" s="20">
        <v>0.95</v>
      </c>
      <c r="AH148" s="16">
        <v>12518000</v>
      </c>
      <c r="AI148" s="20">
        <v>-0.72</v>
      </c>
      <c r="AJ148" s="7">
        <f t="shared" si="16"/>
        <v>1408582.79</v>
      </c>
      <c r="AK148" s="27">
        <f t="shared" si="16"/>
        <v>-5.4479397601648882E-3</v>
      </c>
    </row>
    <row r="149" spans="1:37" ht="22.5" x14ac:dyDescent="0.55000000000000004">
      <c r="A149" s="7" t="s">
        <v>472</v>
      </c>
      <c r="B149" s="25">
        <v>0.54513888888888895</v>
      </c>
      <c r="C149" s="7">
        <v>1410749.7</v>
      </c>
      <c r="D149" s="27">
        <f t="shared" si="13"/>
        <v>1.5383618310429448E-3</v>
      </c>
      <c r="E149" s="7">
        <v>386764</v>
      </c>
      <c r="F149" s="27">
        <f t="shared" si="6"/>
        <v>7.3375273520981388E-3</v>
      </c>
      <c r="G149" s="9">
        <v>56374716.688000001</v>
      </c>
      <c r="H149" s="9">
        <v>42163.701999999997</v>
      </c>
      <c r="I149" s="24">
        <f t="shared" si="14"/>
        <v>42.163702000000001</v>
      </c>
      <c r="J149" s="24">
        <f t="shared" si="17"/>
        <v>52.443346666666663</v>
      </c>
      <c r="K149" s="11">
        <v>11304424.942</v>
      </c>
      <c r="L149" s="11">
        <v>3621616.7519999999</v>
      </c>
      <c r="M149" s="11">
        <v>28496.332999999999</v>
      </c>
      <c r="N149" s="13"/>
      <c r="O149" s="13">
        <f>242+166</f>
        <v>408</v>
      </c>
      <c r="P149" s="13">
        <f>136+78</f>
        <v>214</v>
      </c>
      <c r="Q149" s="13">
        <v>109</v>
      </c>
      <c r="R149" s="23">
        <v>4.47</v>
      </c>
      <c r="S149" s="13">
        <v>51</v>
      </c>
      <c r="T149" s="23">
        <v>2.08</v>
      </c>
      <c r="U149" s="15" t="s">
        <v>473</v>
      </c>
      <c r="V149" s="15" t="s">
        <v>474</v>
      </c>
      <c r="W149" s="24">
        <v>0.115</v>
      </c>
      <c r="X149" s="24"/>
      <c r="Y149" s="24"/>
      <c r="Z149" s="24"/>
      <c r="AA149" s="16">
        <v>268696</v>
      </c>
      <c r="AB149" s="17">
        <f t="shared" si="12"/>
        <v>265.35846600619288</v>
      </c>
      <c r="AC149" s="27">
        <f t="shared" si="15"/>
        <v>-1.1486775338748201E-3</v>
      </c>
      <c r="AD149" s="19">
        <v>59226</v>
      </c>
      <c r="AE149" s="20">
        <v>-2.1800000000000002</v>
      </c>
      <c r="AF149" s="16">
        <v>125420000</v>
      </c>
      <c r="AG149" s="20">
        <v>0.19</v>
      </c>
      <c r="AH149" s="16">
        <v>12492000</v>
      </c>
      <c r="AI149" s="20">
        <v>-0.46</v>
      </c>
      <c r="AJ149" s="7">
        <f t="shared" si="16"/>
        <v>1410749.7</v>
      </c>
      <c r="AK149" s="27">
        <f t="shared" si="16"/>
        <v>1.5383618310429448E-3</v>
      </c>
    </row>
    <row r="150" spans="1:37" ht="22.5" x14ac:dyDescent="0.55000000000000004">
      <c r="A150" s="7" t="s">
        <v>475</v>
      </c>
      <c r="B150" s="25">
        <v>0.53472222222222221</v>
      </c>
      <c r="C150" s="7">
        <v>1383485.53</v>
      </c>
      <c r="D150" s="27">
        <f t="shared" si="13"/>
        <v>-1.9326015096795657E-2</v>
      </c>
      <c r="E150" s="7">
        <v>383529.01</v>
      </c>
      <c r="F150" s="27">
        <f t="shared" si="6"/>
        <v>-8.3642479651673263E-3</v>
      </c>
      <c r="G150" s="9">
        <v>55285575.093000002</v>
      </c>
      <c r="H150" s="9">
        <v>40111.182999999997</v>
      </c>
      <c r="I150" s="24">
        <f t="shared" si="14"/>
        <v>40.111182999999997</v>
      </c>
      <c r="J150" s="24">
        <f t="shared" si="17"/>
        <v>48.19693044444444</v>
      </c>
      <c r="K150" s="11">
        <v>11162257.848999999</v>
      </c>
      <c r="L150" s="11">
        <v>3611825.3050000002</v>
      </c>
      <c r="M150" s="11">
        <v>26016.663</v>
      </c>
      <c r="N150" s="13"/>
      <c r="O150" s="13">
        <f>103+106</f>
        <v>209</v>
      </c>
      <c r="P150" s="13">
        <f>142+278</f>
        <v>420</v>
      </c>
      <c r="Q150" s="13">
        <v>70</v>
      </c>
      <c r="R150" s="23">
        <v>2.6</v>
      </c>
      <c r="S150" s="13">
        <v>110</v>
      </c>
      <c r="T150" s="23">
        <v>4.2</v>
      </c>
      <c r="U150" s="15" t="s">
        <v>476</v>
      </c>
      <c r="V150" s="15" t="s">
        <v>477</v>
      </c>
      <c r="W150" s="24">
        <v>-4.71</v>
      </c>
      <c r="X150" s="24"/>
      <c r="Y150" s="24"/>
      <c r="Z150" s="24"/>
      <c r="AA150" s="16">
        <v>268160</v>
      </c>
      <c r="AB150" s="17">
        <f t="shared" si="12"/>
        <v>261.26065873732102</v>
      </c>
      <c r="AC150" s="27">
        <f t="shared" si="15"/>
        <v>-1.9948194241820039E-3</v>
      </c>
      <c r="AD150" s="19">
        <v>58626</v>
      </c>
      <c r="AE150" s="20">
        <v>2.0699999999999998</v>
      </c>
      <c r="AF150" s="16">
        <v>124280000</v>
      </c>
      <c r="AG150" s="20">
        <v>-0.19</v>
      </c>
      <c r="AH150" s="16">
        <v>12331000</v>
      </c>
      <c r="AI150" s="20">
        <v>-0.59</v>
      </c>
      <c r="AJ150" s="7">
        <f t="shared" si="16"/>
        <v>1383485.53</v>
      </c>
      <c r="AK150" s="27">
        <f t="shared" si="16"/>
        <v>-1.9326015096795657E-2</v>
      </c>
    </row>
    <row r="151" spans="1:37" ht="22.5" x14ac:dyDescent="0.55000000000000004">
      <c r="A151" s="7" t="s">
        <v>478</v>
      </c>
      <c r="B151" s="25">
        <v>0.5625</v>
      </c>
      <c r="C151" s="7">
        <v>1386935.3</v>
      </c>
      <c r="D151" s="27">
        <f t="shared" si="13"/>
        <v>2.4935352955950396E-3</v>
      </c>
      <c r="E151" s="7">
        <v>383327.18</v>
      </c>
      <c r="F151" s="27">
        <f t="shared" si="6"/>
        <v>-5.2624441629600671E-4</v>
      </c>
      <c r="G151" s="9">
        <v>55422774.718999997</v>
      </c>
      <c r="H151" s="9">
        <v>39244.356</v>
      </c>
      <c r="I151" s="24">
        <f t="shared" si="14"/>
        <v>39.244355999999996</v>
      </c>
      <c r="J151" s="24">
        <f t="shared" si="17"/>
        <v>46.101942888888885</v>
      </c>
      <c r="K151" s="11">
        <v>11179241.907</v>
      </c>
      <c r="L151" s="11">
        <v>3612729.2089999998</v>
      </c>
      <c r="M151" s="11">
        <v>18235.523000000001</v>
      </c>
      <c r="N151" s="13"/>
      <c r="O151" s="13">
        <f>216+139</f>
        <v>355</v>
      </c>
      <c r="P151" s="13">
        <f>175+107</f>
        <v>282</v>
      </c>
      <c r="Q151" s="13">
        <v>69</v>
      </c>
      <c r="R151" s="23">
        <v>3.2</v>
      </c>
      <c r="S151" s="13">
        <v>74</v>
      </c>
      <c r="T151" s="23">
        <v>2.5</v>
      </c>
      <c r="U151" s="15" t="s">
        <v>479</v>
      </c>
      <c r="V151" s="15" t="s">
        <v>480</v>
      </c>
      <c r="W151" s="24">
        <v>-0.98</v>
      </c>
      <c r="X151" s="24"/>
      <c r="Y151" s="24"/>
      <c r="Z151" s="24"/>
      <c r="AA151" s="16">
        <v>268059</v>
      </c>
      <c r="AB151" s="17">
        <f t="shared" si="12"/>
        <v>261.93765490060019</v>
      </c>
      <c r="AC151" s="27">
        <f t="shared" si="15"/>
        <v>-3.7664081145583062E-4</v>
      </c>
      <c r="AD151" s="19">
        <v>58861</v>
      </c>
      <c r="AE151" s="20">
        <v>0.52</v>
      </c>
      <c r="AF151" s="16">
        <v>124230000</v>
      </c>
      <c r="AG151" s="20">
        <v>0.17</v>
      </c>
      <c r="AH151" s="16">
        <v>12411000</v>
      </c>
      <c r="AI151" s="20">
        <v>0.4</v>
      </c>
      <c r="AJ151" s="7">
        <f t="shared" si="16"/>
        <v>1386935.3</v>
      </c>
      <c r="AK151" s="27">
        <f t="shared" si="16"/>
        <v>2.4935352955950396E-3</v>
      </c>
    </row>
    <row r="152" spans="1:37" ht="22.5" x14ac:dyDescent="0.55000000000000004">
      <c r="A152" s="7" t="s">
        <v>481</v>
      </c>
      <c r="B152" s="25">
        <v>0.55902777777777779</v>
      </c>
      <c r="C152" s="7">
        <v>1407127.62</v>
      </c>
      <c r="D152" s="27">
        <f t="shared" si="13"/>
        <v>1.4558948784417103E-2</v>
      </c>
      <c r="E152" s="7">
        <v>386938.43</v>
      </c>
      <c r="F152" s="27">
        <f t="shared" si="6"/>
        <v>9.4208033982876582E-3</v>
      </c>
      <c r="G152" s="9">
        <v>56229256.259999998</v>
      </c>
      <c r="H152" s="9">
        <v>43684.432000000001</v>
      </c>
      <c r="I152" s="24">
        <f t="shared" si="14"/>
        <v>43.684432000000001</v>
      </c>
      <c r="J152" s="24">
        <f t="shared" si="17"/>
        <v>44.300314111111106</v>
      </c>
      <c r="K152" s="11">
        <v>11273995.003</v>
      </c>
      <c r="L152" s="11">
        <v>3619123.486</v>
      </c>
      <c r="M152" s="11">
        <v>670897.13100000005</v>
      </c>
      <c r="N152" s="13"/>
      <c r="O152" s="13">
        <f>256+149</f>
        <v>405</v>
      </c>
      <c r="P152" s="13">
        <f>130+134</f>
        <v>264</v>
      </c>
      <c r="Q152" s="13">
        <v>93</v>
      </c>
      <c r="R152" s="23">
        <v>5.2</v>
      </c>
      <c r="S152" s="13">
        <v>64</v>
      </c>
      <c r="T152" s="23">
        <v>2.6</v>
      </c>
      <c r="U152" s="15" t="s">
        <v>482</v>
      </c>
      <c r="V152" s="15" t="s">
        <v>483</v>
      </c>
      <c r="W152" s="24">
        <v>0.61</v>
      </c>
      <c r="X152" s="24"/>
      <c r="Y152" s="24"/>
      <c r="Z152" s="24"/>
      <c r="AA152" s="16">
        <v>267958</v>
      </c>
      <c r="AB152" s="17">
        <f t="shared" si="12"/>
        <v>265.42359156658881</v>
      </c>
      <c r="AC152" s="27">
        <f t="shared" si="15"/>
        <v>-3.767827232064036E-4</v>
      </c>
      <c r="AD152" s="19">
        <v>57438</v>
      </c>
      <c r="AE152" s="20">
        <v>-2.42</v>
      </c>
      <c r="AF152" s="16">
        <v>125610000</v>
      </c>
      <c r="AG152" s="20">
        <v>0.3</v>
      </c>
      <c r="AH152" s="16">
        <v>12488000</v>
      </c>
      <c r="AI152" s="20">
        <v>0.75</v>
      </c>
      <c r="AJ152" s="7">
        <f t="shared" si="16"/>
        <v>1407127.62</v>
      </c>
      <c r="AK152" s="27">
        <f t="shared" si="16"/>
        <v>1.4558948784417103E-2</v>
      </c>
    </row>
    <row r="153" spans="1:37" ht="22.5" x14ac:dyDescent="0.55000000000000004">
      <c r="A153" s="7" t="s">
        <v>484</v>
      </c>
      <c r="B153" s="25">
        <v>0.55902777777777779</v>
      </c>
      <c r="C153" s="7">
        <v>1404551.7</v>
      </c>
      <c r="D153" s="27">
        <f t="shared" si="13"/>
        <v>-1.8306228684503711E-3</v>
      </c>
      <c r="E153" s="7">
        <v>385044.02</v>
      </c>
      <c r="F153" s="27">
        <f t="shared" si="6"/>
        <v>-4.8958951944886309E-3</v>
      </c>
      <c r="G153" s="9">
        <v>56126282.920000002</v>
      </c>
      <c r="H153" s="9">
        <v>38253.356</v>
      </c>
      <c r="I153" s="24">
        <f t="shared" si="14"/>
        <v>38.253355999999997</v>
      </c>
      <c r="J153" s="24">
        <f t="shared" si="17"/>
        <v>42.734208333333328</v>
      </c>
      <c r="K153" s="11">
        <v>11252988.573000001</v>
      </c>
      <c r="L153" s="11">
        <v>3616834.5750000002</v>
      </c>
      <c r="M153" s="11">
        <v>18853.431</v>
      </c>
      <c r="N153" s="13"/>
      <c r="O153" s="13">
        <f>128+95</f>
        <v>223</v>
      </c>
      <c r="P153" s="13">
        <f>260+148</f>
        <v>408</v>
      </c>
      <c r="Q153" s="13">
        <v>65</v>
      </c>
      <c r="R153" s="23">
        <v>3.22</v>
      </c>
      <c r="S153" s="13">
        <v>96</v>
      </c>
      <c r="T153" s="23">
        <v>10.7</v>
      </c>
      <c r="U153" s="15" t="s">
        <v>485</v>
      </c>
      <c r="V153" s="15" t="s">
        <v>486</v>
      </c>
      <c r="W153" s="24">
        <v>0.54</v>
      </c>
      <c r="X153" s="24"/>
      <c r="Y153" s="24"/>
      <c r="Z153" s="24"/>
      <c r="AA153" s="16">
        <v>267958</v>
      </c>
      <c r="AB153" s="17">
        <f t="shared" si="12"/>
        <v>264.95236592301779</v>
      </c>
      <c r="AC153" s="27">
        <f t="shared" si="15"/>
        <v>0</v>
      </c>
      <c r="AD153" s="19">
        <v>57153</v>
      </c>
      <c r="AE153" s="20">
        <v>-0.42</v>
      </c>
      <c r="AF153" s="16">
        <v>124720000</v>
      </c>
      <c r="AG153" s="20">
        <v>-0.43</v>
      </c>
      <c r="AH153" s="16">
        <v>12361000</v>
      </c>
      <c r="AI153" s="20">
        <v>-1.34</v>
      </c>
      <c r="AJ153" s="7">
        <f t="shared" si="16"/>
        <v>1404551.7</v>
      </c>
      <c r="AK153" s="27">
        <f t="shared" si="16"/>
        <v>-1.8306228684503711E-3</v>
      </c>
    </row>
    <row r="154" spans="1:37" ht="22.5" x14ac:dyDescent="0.55000000000000004">
      <c r="A154" s="7" t="s">
        <v>487</v>
      </c>
      <c r="B154" s="25">
        <v>0.57291666666666663</v>
      </c>
      <c r="C154" s="7">
        <v>1394105.34</v>
      </c>
      <c r="D154" s="27">
        <f t="shared" si="13"/>
        <v>-7.4375047924543081E-3</v>
      </c>
      <c r="E154" s="7">
        <v>383470.05</v>
      </c>
      <c r="F154" s="27">
        <f t="shared" si="6"/>
        <v>-4.0877663805817255E-3</v>
      </c>
      <c r="G154" s="9">
        <v>55709373.435000002</v>
      </c>
      <c r="H154" s="9">
        <v>34997.879000000001</v>
      </c>
      <c r="I154" s="24">
        <f t="shared" si="14"/>
        <v>34.997878999999998</v>
      </c>
      <c r="J154" s="24">
        <f t="shared" si="17"/>
        <v>41.786591999999999</v>
      </c>
      <c r="K154" s="11">
        <v>11151501.029999999</v>
      </c>
      <c r="L154" s="11">
        <v>3609973.804</v>
      </c>
      <c r="M154" s="11">
        <v>95421.769</v>
      </c>
      <c r="N154" s="13"/>
      <c r="O154" s="13">
        <f>119+134</f>
        <v>253</v>
      </c>
      <c r="P154" s="13">
        <f>142+251</f>
        <v>393</v>
      </c>
      <c r="Q154" s="13">
        <v>57</v>
      </c>
      <c r="R154" s="23">
        <v>2.54</v>
      </c>
      <c r="S154" s="13">
        <v>88</v>
      </c>
      <c r="T154" s="23">
        <v>3.26</v>
      </c>
      <c r="U154" s="15" t="s">
        <v>488</v>
      </c>
      <c r="V154" s="15" t="s">
        <v>489</v>
      </c>
      <c r="W154" s="24">
        <v>-2.4300000000000002</v>
      </c>
      <c r="X154" s="24"/>
      <c r="Y154" s="24"/>
      <c r="Z154" s="24"/>
      <c r="AA154" s="16">
        <v>269452</v>
      </c>
      <c r="AB154" s="17">
        <f t="shared" si="12"/>
        <v>261.53395880899006</v>
      </c>
      <c r="AC154" s="27">
        <f t="shared" si="15"/>
        <v>5.5755006381597028E-3</v>
      </c>
      <c r="AD154" s="19">
        <v>56674</v>
      </c>
      <c r="AE154" s="20">
        <v>-0.04</v>
      </c>
      <c r="AF154" s="16">
        <v>126590000</v>
      </c>
      <c r="AG154" s="20">
        <v>1.35</v>
      </c>
      <c r="AH154" s="16">
        <v>12520000</v>
      </c>
      <c r="AI154" s="20">
        <v>1.3</v>
      </c>
      <c r="AJ154" s="7">
        <f t="shared" si="16"/>
        <v>1394105.34</v>
      </c>
      <c r="AK154" s="27">
        <f t="shared" si="16"/>
        <v>-7.4375047924543081E-3</v>
      </c>
    </row>
    <row r="155" spans="1:37" ht="22.5" x14ac:dyDescent="0.55000000000000004">
      <c r="A155" s="7" t="s">
        <v>490</v>
      </c>
      <c r="B155" s="25">
        <v>0.56458333333333333</v>
      </c>
      <c r="C155" s="7">
        <v>1366662.33</v>
      </c>
      <c r="D155" s="27">
        <f t="shared" si="13"/>
        <v>-1.9685033270154473E-2</v>
      </c>
      <c r="E155" s="7">
        <v>376895</v>
      </c>
      <c r="F155" s="27">
        <f t="shared" si="6"/>
        <v>-1.7146189122201339E-2</v>
      </c>
      <c r="G155" s="9">
        <v>54612683.678999998</v>
      </c>
      <c r="H155" s="9">
        <v>35992.000999999997</v>
      </c>
      <c r="I155" s="24">
        <f t="shared" si="14"/>
        <v>35.992000999999995</v>
      </c>
      <c r="J155" s="24">
        <f t="shared" si="17"/>
        <v>39.595046555555562</v>
      </c>
      <c r="K155" s="11">
        <v>10960505.630999999</v>
      </c>
      <c r="L155" s="11">
        <v>3582214.2910000002</v>
      </c>
      <c r="M155" s="11">
        <v>31472.707999999999</v>
      </c>
      <c r="N155" s="13"/>
      <c r="O155" s="13">
        <f>54+94</f>
        <v>148</v>
      </c>
      <c r="P155" s="13">
        <f>165+335</f>
        <v>500</v>
      </c>
      <c r="Q155" s="13">
        <v>30</v>
      </c>
      <c r="R155" s="23">
        <v>0.45</v>
      </c>
      <c r="S155" s="13">
        <v>205</v>
      </c>
      <c r="T155" s="23">
        <v>5.0199999999999996</v>
      </c>
      <c r="U155" s="15" t="s">
        <v>491</v>
      </c>
      <c r="V155" s="15" t="s">
        <v>492</v>
      </c>
      <c r="W155" s="24">
        <v>-5.65</v>
      </c>
      <c r="X155" s="24"/>
      <c r="Y155" s="24"/>
      <c r="Z155" s="24"/>
      <c r="AA155" s="16">
        <v>277530</v>
      </c>
      <c r="AB155" s="17">
        <f t="shared" si="12"/>
        <v>249.18172306057002</v>
      </c>
      <c r="AC155" s="27">
        <f t="shared" si="15"/>
        <v>2.9979365527069701E-2</v>
      </c>
      <c r="AD155" s="19">
        <v>54621</v>
      </c>
      <c r="AE155" s="20">
        <v>-0.3</v>
      </c>
      <c r="AF155" s="16">
        <v>125880000</v>
      </c>
      <c r="AG155" s="20">
        <v>-0.23</v>
      </c>
      <c r="AH155" s="16">
        <v>12531000</v>
      </c>
      <c r="AI155" s="20">
        <v>0.26</v>
      </c>
      <c r="AJ155" s="7">
        <f t="shared" si="16"/>
        <v>1366662.33</v>
      </c>
      <c r="AK155" s="27">
        <f t="shared" si="16"/>
        <v>-1.9685033270154473E-2</v>
      </c>
    </row>
    <row r="156" spans="1:37" ht="22.5" x14ac:dyDescent="0.55000000000000004">
      <c r="A156" s="7" t="s">
        <v>493</v>
      </c>
      <c r="B156" s="25">
        <v>0.53125</v>
      </c>
      <c r="C156" s="7">
        <v>1368013.45</v>
      </c>
      <c r="D156" s="27">
        <f t="shared" si="13"/>
        <v>9.8862752732764569E-4</v>
      </c>
      <c r="E156" s="7">
        <v>374990.8</v>
      </c>
      <c r="F156" s="27">
        <f t="shared" si="6"/>
        <v>-5.05233553111617E-3</v>
      </c>
      <c r="G156" s="9">
        <v>54680447.230999999</v>
      </c>
      <c r="H156" s="9">
        <v>36634.235000000001</v>
      </c>
      <c r="I156" s="24">
        <f t="shared" si="14"/>
        <v>36.634235000000004</v>
      </c>
      <c r="J156" s="24">
        <f t="shared" si="17"/>
        <v>39.077700666666672</v>
      </c>
      <c r="K156" s="11">
        <v>10885837.169</v>
      </c>
      <c r="L156" s="11">
        <v>3555271.236</v>
      </c>
      <c r="M156" s="11">
        <v>19285.233</v>
      </c>
      <c r="N156" s="13"/>
      <c r="O156" s="13">
        <f>126+123</f>
        <v>249</v>
      </c>
      <c r="P156" s="13">
        <f>272+139</f>
        <v>411</v>
      </c>
      <c r="Q156" s="13">
        <v>38</v>
      </c>
      <c r="R156" s="23">
        <v>1.8</v>
      </c>
      <c r="S156" s="13">
        <v>107</v>
      </c>
      <c r="T156" s="23">
        <v>3.2</v>
      </c>
      <c r="U156" s="15" t="s">
        <v>494</v>
      </c>
      <c r="V156" s="15" t="s">
        <v>495</v>
      </c>
      <c r="W156" s="24">
        <v>-2.92</v>
      </c>
      <c r="X156" s="24"/>
      <c r="Y156" s="24"/>
      <c r="Z156" s="24"/>
      <c r="AA156" s="16">
        <v>264124</v>
      </c>
      <c r="AB156" s="17">
        <f t="shared" si="12"/>
        <v>261.70115413972223</v>
      </c>
      <c r="AC156" s="27">
        <f t="shared" si="15"/>
        <v>-4.8304687781501099E-2</v>
      </c>
      <c r="AD156" s="19">
        <v>54529</v>
      </c>
      <c r="AE156" s="20">
        <v>-7.33</v>
      </c>
      <c r="AF156" s="16">
        <v>125970000</v>
      </c>
      <c r="AG156" s="20">
        <v>0.09</v>
      </c>
      <c r="AH156" s="16">
        <v>12571000</v>
      </c>
      <c r="AI156" s="20">
        <v>0.3</v>
      </c>
      <c r="AJ156" s="7">
        <f t="shared" si="16"/>
        <v>1368013.45</v>
      </c>
      <c r="AK156" s="27">
        <f t="shared" si="16"/>
        <v>9.8862752732764569E-4</v>
      </c>
    </row>
    <row r="157" spans="1:37" ht="22.5" x14ac:dyDescent="0.55000000000000004">
      <c r="A157" s="7" t="s">
        <v>496</v>
      </c>
      <c r="B157" s="25">
        <v>0.53125</v>
      </c>
      <c r="C157" s="7">
        <v>1363821.83</v>
      </c>
      <c r="D157" s="27">
        <f t="shared" si="13"/>
        <v>-3.0640195825558658E-3</v>
      </c>
      <c r="E157" s="7">
        <v>374167.24</v>
      </c>
      <c r="F157" s="27">
        <f t="shared" si="6"/>
        <v>-2.1962138804472175E-3</v>
      </c>
      <c r="G157" s="9">
        <v>54514511.369999997</v>
      </c>
      <c r="H157" s="9">
        <v>26735.477999999999</v>
      </c>
      <c r="I157" s="24">
        <f t="shared" si="14"/>
        <v>26.735478000000001</v>
      </c>
      <c r="J157" s="24">
        <f t="shared" si="17"/>
        <v>37.535180222222223</v>
      </c>
      <c r="K157" s="11">
        <v>10891377.067</v>
      </c>
      <c r="L157" s="11">
        <v>3542238.0610000002</v>
      </c>
      <c r="M157" s="11">
        <v>345365.32500000001</v>
      </c>
      <c r="N157" s="13"/>
      <c r="O157" s="13">
        <f>129+94</f>
        <v>223</v>
      </c>
      <c r="P157" s="13">
        <f>185+266</f>
        <v>451</v>
      </c>
      <c r="Q157" s="13">
        <v>54</v>
      </c>
      <c r="R157" s="23">
        <v>1.5</v>
      </c>
      <c r="S157" s="13">
        <v>111</v>
      </c>
      <c r="T157" s="23">
        <v>3.4</v>
      </c>
      <c r="U157" s="15" t="s">
        <v>497</v>
      </c>
      <c r="V157" s="15" t="s">
        <v>498</v>
      </c>
      <c r="W157" s="24">
        <v>-1.06</v>
      </c>
      <c r="X157" s="24"/>
      <c r="Y157" s="24"/>
      <c r="Z157" s="24"/>
      <c r="AA157" s="16">
        <v>266144</v>
      </c>
      <c r="AB157" s="17">
        <f t="shared" si="12"/>
        <v>259.06323831459662</v>
      </c>
      <c r="AC157" s="27">
        <f t="shared" si="15"/>
        <v>7.6479229452832698E-3</v>
      </c>
      <c r="AD157" s="19">
        <v>57405</v>
      </c>
      <c r="AE157" s="20">
        <v>5.69</v>
      </c>
      <c r="AF157" s="16">
        <v>127310000</v>
      </c>
      <c r="AG157" s="20">
        <v>0.27</v>
      </c>
      <c r="AH157" s="16">
        <v>12737000</v>
      </c>
      <c r="AI157" s="20">
        <v>1.29</v>
      </c>
      <c r="AJ157" s="7">
        <f t="shared" si="16"/>
        <v>1363821.83</v>
      </c>
      <c r="AK157" s="27">
        <f t="shared" si="16"/>
        <v>-3.0640195825558658E-3</v>
      </c>
    </row>
    <row r="158" spans="1:37" ht="22.5" x14ac:dyDescent="0.55000000000000004">
      <c r="A158" s="7" t="s">
        <v>499</v>
      </c>
      <c r="B158" s="25">
        <v>0.53125</v>
      </c>
      <c r="C158" s="7">
        <v>1357092.36</v>
      </c>
      <c r="D158" s="27">
        <f t="shared" si="13"/>
        <v>-4.9342735626983769E-3</v>
      </c>
      <c r="E158" s="7">
        <v>372494.83</v>
      </c>
      <c r="F158" s="27">
        <f t="shared" si="6"/>
        <v>-4.4696858014613428E-3</v>
      </c>
      <c r="G158" s="9">
        <v>54242965.696000002</v>
      </c>
      <c r="H158" s="9">
        <v>28883.55</v>
      </c>
      <c r="I158" s="24">
        <f t="shared" si="14"/>
        <v>28.88355</v>
      </c>
      <c r="J158" s="24">
        <f t="shared" si="17"/>
        <v>36.059607777777778</v>
      </c>
      <c r="K158" s="11">
        <v>10867093.357000001</v>
      </c>
      <c r="L158" s="11">
        <v>3534503.6090000002</v>
      </c>
      <c r="M158" s="11">
        <v>21422.637999999999</v>
      </c>
      <c r="N158" s="13"/>
      <c r="O158" s="13">
        <f>129+100</f>
        <v>229</v>
      </c>
      <c r="P158" s="13">
        <f>145+249</f>
        <v>394</v>
      </c>
      <c r="Q158" s="13">
        <v>42</v>
      </c>
      <c r="R158" s="23">
        <v>1.3</v>
      </c>
      <c r="S158" s="13">
        <v>116</v>
      </c>
      <c r="T158" s="23">
        <v>3.29</v>
      </c>
      <c r="U158" s="15" t="s">
        <v>500</v>
      </c>
      <c r="V158" s="15" t="s">
        <v>501</v>
      </c>
      <c r="W158" s="24">
        <v>-3.42</v>
      </c>
      <c r="X158" s="24"/>
      <c r="Y158" s="24"/>
      <c r="Z158" s="24"/>
      <c r="AA158" s="16">
        <v>264629</v>
      </c>
      <c r="AB158" s="17">
        <f t="shared" si="12"/>
        <v>259.39924445922406</v>
      </c>
      <c r="AC158" s="27">
        <f t="shared" si="15"/>
        <v>-5.6924071179511593E-3</v>
      </c>
      <c r="AD158" s="19">
        <v>56798</v>
      </c>
      <c r="AE158" s="20">
        <v>-0.05</v>
      </c>
      <c r="AF158" s="16">
        <v>125690000</v>
      </c>
      <c r="AG158" s="20">
        <v>-1.05</v>
      </c>
      <c r="AH158" s="16">
        <v>12541000</v>
      </c>
      <c r="AI158" s="20">
        <v>-1.23</v>
      </c>
      <c r="AJ158" s="7">
        <f t="shared" si="16"/>
        <v>1357092.36</v>
      </c>
      <c r="AK158" s="27">
        <f t="shared" si="16"/>
        <v>-4.9342735626983769E-3</v>
      </c>
    </row>
    <row r="159" spans="1:37" ht="22.5" x14ac:dyDescent="0.55000000000000004">
      <c r="A159" s="7" t="s">
        <v>502</v>
      </c>
      <c r="B159" s="25">
        <v>0.53472222222222221</v>
      </c>
      <c r="C159" s="7">
        <v>1340118.2</v>
      </c>
      <c r="D159" s="27">
        <f t="shared" si="13"/>
        <v>-1.250774118277409E-2</v>
      </c>
      <c r="E159" s="7">
        <v>367561</v>
      </c>
      <c r="F159" s="27">
        <f t="shared" si="6"/>
        <v>-1.324536504305307E-2</v>
      </c>
      <c r="G159" s="9">
        <v>53566144.987999998</v>
      </c>
      <c r="H159" s="9">
        <v>29219.223000000002</v>
      </c>
      <c r="I159" s="24">
        <f t="shared" si="14"/>
        <v>29.219223000000003</v>
      </c>
      <c r="J159" s="24">
        <f t="shared" si="17"/>
        <v>34.84939</v>
      </c>
      <c r="K159" s="11">
        <v>10741723.857999999</v>
      </c>
      <c r="L159" s="11">
        <v>3511883.0260000001</v>
      </c>
      <c r="M159" s="11">
        <v>19309.563999999998</v>
      </c>
      <c r="N159" s="13"/>
      <c r="O159" s="13">
        <f>82+74</f>
        <v>156</v>
      </c>
      <c r="P159" s="13">
        <f>302+166</f>
        <v>468</v>
      </c>
      <c r="Q159" s="13">
        <v>32</v>
      </c>
      <c r="R159" s="23">
        <v>1.4</v>
      </c>
      <c r="S159" s="13">
        <v>157</v>
      </c>
      <c r="T159" s="23">
        <v>3.8</v>
      </c>
      <c r="U159" s="15" t="s">
        <v>503</v>
      </c>
      <c r="V159" s="15" t="s">
        <v>504</v>
      </c>
      <c r="W159" s="24">
        <v>-4.16</v>
      </c>
      <c r="X159" s="24"/>
      <c r="Y159" s="24"/>
      <c r="Z159" s="24"/>
      <c r="AA159" s="16">
        <v>265639</v>
      </c>
      <c r="AB159" s="17">
        <f t="shared" si="12"/>
        <v>255.30796258079573</v>
      </c>
      <c r="AC159" s="27">
        <f t="shared" si="15"/>
        <v>3.8166640844352617E-3</v>
      </c>
      <c r="AD159" s="19">
        <v>56990</v>
      </c>
      <c r="AE159" s="20">
        <v>0.3</v>
      </c>
      <c r="AF159" s="16">
        <v>126220000</v>
      </c>
      <c r="AG159" s="20">
        <v>0.55000000000000004</v>
      </c>
      <c r="AH159" s="16">
        <v>12610000</v>
      </c>
      <c r="AI159" s="20">
        <v>0.79</v>
      </c>
      <c r="AJ159" s="7">
        <f t="shared" si="16"/>
        <v>1340118.2</v>
      </c>
      <c r="AK159" s="27">
        <f t="shared" si="16"/>
        <v>-1.250774118277409E-2</v>
      </c>
    </row>
    <row r="160" spans="1:37" ht="22.5" x14ac:dyDescent="0.55000000000000004">
      <c r="A160" s="7" t="s">
        <v>505</v>
      </c>
      <c r="B160" s="25">
        <v>0.55208333333333337</v>
      </c>
      <c r="C160" s="7">
        <v>1334734.72</v>
      </c>
      <c r="D160" s="27">
        <f t="shared" si="13"/>
        <v>-4.0171680378641161E-3</v>
      </c>
      <c r="E160" s="7">
        <v>362908.32</v>
      </c>
      <c r="F160" s="27">
        <f t="shared" si="6"/>
        <v>-1.2658252643778845E-2</v>
      </c>
      <c r="G160" s="9">
        <v>53354220.861000001</v>
      </c>
      <c r="H160" s="9">
        <v>29606.743999999999</v>
      </c>
      <c r="I160" s="24">
        <f t="shared" si="14"/>
        <v>29.606743999999999</v>
      </c>
      <c r="J160" s="24">
        <f t="shared" si="17"/>
        <v>33.778544222222223</v>
      </c>
      <c r="K160" s="11">
        <v>10685604.631999999</v>
      </c>
      <c r="L160" s="11">
        <v>3479095.892</v>
      </c>
      <c r="M160" s="11">
        <v>13934.638999999999</v>
      </c>
      <c r="N160" s="13"/>
      <c r="O160" s="13">
        <f>95+87</f>
        <v>182</v>
      </c>
      <c r="P160" s="13">
        <f>171+293</f>
        <v>464</v>
      </c>
      <c r="Q160" s="13">
        <v>23</v>
      </c>
      <c r="R160" s="23">
        <v>0.48</v>
      </c>
      <c r="S160" s="13">
        <v>193</v>
      </c>
      <c r="T160" s="23">
        <v>5.9</v>
      </c>
      <c r="U160" s="15" t="s">
        <v>506</v>
      </c>
      <c r="V160" s="15" t="s">
        <v>507</v>
      </c>
      <c r="W160" s="24">
        <v>-3.81</v>
      </c>
      <c r="X160" s="24"/>
      <c r="Y160" s="24"/>
      <c r="Z160" s="24"/>
      <c r="AA160" s="16">
        <v>279768</v>
      </c>
      <c r="AB160" s="17">
        <f t="shared" si="12"/>
        <v>241.33897152283322</v>
      </c>
      <c r="AC160" s="27">
        <f t="shared" si="15"/>
        <v>5.3188726053026825E-2</v>
      </c>
      <c r="AD160" s="19">
        <v>47500</v>
      </c>
      <c r="AE160" s="20">
        <v>-16.11</v>
      </c>
      <c r="AF160" s="16">
        <v>129880000</v>
      </c>
      <c r="AG160" s="20">
        <v>2.74</v>
      </c>
      <c r="AH160" s="16">
        <v>12975000</v>
      </c>
      <c r="AI160" s="20">
        <v>3.07</v>
      </c>
      <c r="AJ160" s="7">
        <f t="shared" si="16"/>
        <v>1334734.72</v>
      </c>
      <c r="AK160" s="27">
        <f t="shared" si="16"/>
        <v>-4.0171680378641161E-3</v>
      </c>
    </row>
    <row r="161" spans="1:37" ht="22.5" x14ac:dyDescent="0.55000000000000004">
      <c r="A161" s="7" t="s">
        <v>508</v>
      </c>
      <c r="B161" s="25">
        <v>0.53888888888888886</v>
      </c>
      <c r="C161" s="7">
        <v>1343202.7</v>
      </c>
      <c r="D161" s="27">
        <f t="shared" si="13"/>
        <v>6.3443168691976748E-3</v>
      </c>
      <c r="E161" s="7">
        <v>363347.53</v>
      </c>
      <c r="F161" s="27">
        <f t="shared" si="6"/>
        <v>1.2102505668649677E-3</v>
      </c>
      <c r="G161" s="9">
        <v>53693255.745999999</v>
      </c>
      <c r="H161" s="9">
        <v>24914.666000000001</v>
      </c>
      <c r="I161" s="24">
        <f t="shared" si="14"/>
        <v>24.914666</v>
      </c>
      <c r="J161" s="24">
        <f t="shared" si="17"/>
        <v>31.69301466666667</v>
      </c>
      <c r="K161" s="11">
        <v>10727240.423</v>
      </c>
      <c r="L161" s="11">
        <v>3464027.06</v>
      </c>
      <c r="M161" s="11">
        <v>14661.958000000001</v>
      </c>
      <c r="N161" s="13"/>
      <c r="O161" s="13">
        <f>214+168</f>
        <v>382</v>
      </c>
      <c r="P161" s="13">
        <f>167+86</f>
        <v>253</v>
      </c>
      <c r="Q161" s="13">
        <v>46</v>
      </c>
      <c r="R161" s="23">
        <v>1.26</v>
      </c>
      <c r="S161" s="13">
        <v>111</v>
      </c>
      <c r="T161" s="23">
        <v>3.98</v>
      </c>
      <c r="U161" s="15" t="s">
        <v>509</v>
      </c>
      <c r="V161" s="15" t="s">
        <v>510</v>
      </c>
      <c r="W161" s="24">
        <v>-1.5</v>
      </c>
      <c r="X161" s="24"/>
      <c r="Y161" s="24"/>
      <c r="Z161" s="24"/>
      <c r="AA161" s="16">
        <v>278717</v>
      </c>
      <c r="AB161" s="17">
        <f t="shared" si="12"/>
        <v>243.56075599622557</v>
      </c>
      <c r="AC161" s="27">
        <f t="shared" si="15"/>
        <v>-3.7566841096908776E-3</v>
      </c>
      <c r="AD161" s="19">
        <v>48914</v>
      </c>
      <c r="AE161" s="20">
        <v>3.05</v>
      </c>
      <c r="AF161" s="16">
        <v>130270000</v>
      </c>
      <c r="AG161" s="20">
        <v>0.27</v>
      </c>
      <c r="AH161" s="16">
        <v>13028000</v>
      </c>
      <c r="AI161" s="20">
        <v>0.18</v>
      </c>
      <c r="AJ161" s="7">
        <f t="shared" si="16"/>
        <v>1343202.7</v>
      </c>
      <c r="AK161" s="27">
        <f t="shared" si="16"/>
        <v>6.3443168691976748E-3</v>
      </c>
    </row>
    <row r="162" spans="1:37" ht="22.5" x14ac:dyDescent="0.55000000000000004">
      <c r="A162" s="7" t="s">
        <v>511</v>
      </c>
      <c r="B162" s="25">
        <v>0.52777777777777779</v>
      </c>
      <c r="C162" s="7">
        <v>1342336.46</v>
      </c>
      <c r="D162" s="27">
        <f t="shared" si="13"/>
        <v>-6.4490638680225754E-4</v>
      </c>
      <c r="E162" s="7">
        <v>363768.85</v>
      </c>
      <c r="F162" s="27">
        <f t="shared" si="6"/>
        <v>1.159551022680505E-3</v>
      </c>
      <c r="G162" s="9">
        <v>53654250.351000004</v>
      </c>
      <c r="H162" s="9">
        <v>27778.326000000001</v>
      </c>
      <c r="I162" s="24">
        <f t="shared" si="14"/>
        <v>27.778326</v>
      </c>
      <c r="J162" s="24">
        <f t="shared" si="17"/>
        <v>30.529122444444447</v>
      </c>
      <c r="K162" s="11">
        <v>10708808.005000001</v>
      </c>
      <c r="L162" s="11">
        <v>3441829.534</v>
      </c>
      <c r="M162" s="11">
        <v>457585.63</v>
      </c>
      <c r="N162" s="13">
        <v>27209</v>
      </c>
      <c r="O162" s="13">
        <f>173+135</f>
        <v>308</v>
      </c>
      <c r="P162" s="13">
        <f>140+209</f>
        <v>349</v>
      </c>
      <c r="Q162" s="13">
        <v>35</v>
      </c>
      <c r="R162" s="23">
        <v>0.74</v>
      </c>
      <c r="S162" s="13">
        <v>110</v>
      </c>
      <c r="T162" s="23">
        <v>4.2</v>
      </c>
      <c r="U162" s="15" t="s">
        <v>512</v>
      </c>
      <c r="V162" s="15" t="s">
        <v>513</v>
      </c>
      <c r="W162" s="24">
        <v>-2.35</v>
      </c>
      <c r="X162" s="24"/>
      <c r="Y162" s="24"/>
      <c r="Z162" s="24"/>
      <c r="AA162" s="16">
        <v>278239</v>
      </c>
      <c r="AB162" s="17">
        <f t="shared" si="12"/>
        <v>243.69296859893834</v>
      </c>
      <c r="AC162" s="27">
        <f t="shared" si="15"/>
        <v>-1.7150012378146506E-3</v>
      </c>
      <c r="AD162" s="19">
        <v>48025</v>
      </c>
      <c r="AE162" s="20">
        <v>-2.14</v>
      </c>
      <c r="AF162" s="16">
        <v>131430000</v>
      </c>
      <c r="AG162" s="20">
        <v>0.56999999999999995</v>
      </c>
      <c r="AH162" s="16">
        <v>13122000</v>
      </c>
      <c r="AI162" s="20">
        <v>0.6</v>
      </c>
      <c r="AJ162" s="7">
        <f t="shared" si="16"/>
        <v>1342336.46</v>
      </c>
      <c r="AK162" s="27">
        <f t="shared" si="16"/>
        <v>-6.4490638680225754E-4</v>
      </c>
    </row>
    <row r="163" spans="1:37" ht="22.5" x14ac:dyDescent="0.55000000000000004">
      <c r="A163" s="7" t="s">
        <v>514</v>
      </c>
      <c r="B163" s="25">
        <v>0.54166666666666663</v>
      </c>
      <c r="C163" s="7">
        <v>1338016</v>
      </c>
      <c r="D163" s="27">
        <f t="shared" si="13"/>
        <v>-3.218611822553008E-3</v>
      </c>
      <c r="E163" s="7">
        <v>361141</v>
      </c>
      <c r="F163" s="27">
        <f t="shared" si="6"/>
        <v>-7.2239555420976487E-3</v>
      </c>
      <c r="G163" s="9">
        <v>53466172.447999999</v>
      </c>
      <c r="H163" s="9">
        <v>39163.953000000001</v>
      </c>
      <c r="I163" s="24">
        <f t="shared" si="14"/>
        <v>39.163952999999999</v>
      </c>
      <c r="J163" s="24">
        <f t="shared" si="17"/>
        <v>30.992019555555558</v>
      </c>
      <c r="K163" s="11">
        <v>10665390.534</v>
      </c>
      <c r="L163" s="11">
        <v>3413880.2829999998</v>
      </c>
      <c r="M163" s="11">
        <v>18601.659</v>
      </c>
      <c r="N163" s="13">
        <v>28557</v>
      </c>
      <c r="O163" s="13">
        <f>127+116</f>
        <v>243</v>
      </c>
      <c r="P163" s="13">
        <f>129+262</f>
        <v>391</v>
      </c>
      <c r="Q163" s="13">
        <v>35</v>
      </c>
      <c r="R163" s="23">
        <v>0.51200000000000001</v>
      </c>
      <c r="S163" s="13">
        <v>129</v>
      </c>
      <c r="T163" s="23">
        <v>6.4130000000000003</v>
      </c>
      <c r="U163" s="15" t="s">
        <v>515</v>
      </c>
      <c r="V163" s="15" t="s">
        <v>516</v>
      </c>
      <c r="W163" s="24">
        <v>-2.74</v>
      </c>
      <c r="X163" s="24"/>
      <c r="Y163" s="24"/>
      <c r="Z163" s="24"/>
      <c r="AA163" s="16">
        <v>278239</v>
      </c>
      <c r="AB163" s="17">
        <f t="shared" si="12"/>
        <v>242.76051619291329</v>
      </c>
      <c r="AC163" s="27">
        <f t="shared" si="15"/>
        <v>0</v>
      </c>
      <c r="AD163" s="19">
        <v>51383</v>
      </c>
      <c r="AE163" s="20">
        <v>6.69</v>
      </c>
      <c r="AF163" s="16">
        <v>132180000</v>
      </c>
      <c r="AG163" s="20">
        <v>-0.76</v>
      </c>
      <c r="AH163" s="16">
        <v>13187000</v>
      </c>
      <c r="AI163" s="20">
        <v>-0.05</v>
      </c>
      <c r="AJ163" s="7">
        <f t="shared" si="16"/>
        <v>1338016</v>
      </c>
      <c r="AK163" s="27">
        <f t="shared" si="16"/>
        <v>-3.218611822553008E-3</v>
      </c>
    </row>
    <row r="164" spans="1:37" ht="22.5" x14ac:dyDescent="0.55000000000000004">
      <c r="A164" s="7" t="s">
        <v>517</v>
      </c>
      <c r="B164" s="25">
        <v>0.55833333333333335</v>
      </c>
      <c r="C164" s="7">
        <v>1349389.3</v>
      </c>
      <c r="D164" s="27">
        <f t="shared" si="13"/>
        <v>8.5001225695358062E-3</v>
      </c>
      <c r="E164" s="7">
        <v>363586.76</v>
      </c>
      <c r="F164" s="27">
        <f t="shared" si="6"/>
        <v>6.772313306991018E-3</v>
      </c>
      <c r="G164" s="9">
        <v>53935635.055</v>
      </c>
      <c r="H164" s="9">
        <v>33070.99</v>
      </c>
      <c r="I164" s="24">
        <f t="shared" si="14"/>
        <v>33.070989999999995</v>
      </c>
      <c r="J164" s="24">
        <f t="shared" si="17"/>
        <v>30.667462777777775</v>
      </c>
      <c r="K164" s="11">
        <v>10706209.728</v>
      </c>
      <c r="L164" s="11">
        <v>3418474.5129999998</v>
      </c>
      <c r="M164" s="11">
        <v>19350.805</v>
      </c>
      <c r="N164" s="13">
        <v>33105</v>
      </c>
      <c r="O164" s="13">
        <f>270+174</f>
        <v>444</v>
      </c>
      <c r="P164" s="13">
        <f>114+83</f>
        <v>197</v>
      </c>
      <c r="Q164" s="13">
        <v>61</v>
      </c>
      <c r="R164" s="23">
        <v>1.48</v>
      </c>
      <c r="S164" s="13">
        <v>73</v>
      </c>
      <c r="T164" s="23">
        <v>5.25</v>
      </c>
      <c r="U164" s="15" t="s">
        <v>518</v>
      </c>
      <c r="V164" s="15" t="s">
        <v>519</v>
      </c>
      <c r="W164" s="24">
        <v>-0.82</v>
      </c>
      <c r="X164" s="24"/>
      <c r="Y164" s="24"/>
      <c r="Z164" s="24"/>
      <c r="AA164" s="16">
        <v>278239</v>
      </c>
      <c r="AB164" s="17">
        <f t="shared" si="12"/>
        <v>244.61099736557421</v>
      </c>
      <c r="AC164" s="27">
        <f t="shared" si="15"/>
        <v>0</v>
      </c>
      <c r="AD164" s="19">
        <v>50307</v>
      </c>
      <c r="AE164" s="20">
        <v>-2.06</v>
      </c>
      <c r="AF164" s="16">
        <v>131790000</v>
      </c>
      <c r="AG164" s="20">
        <v>0.28000000000000003</v>
      </c>
      <c r="AH164" s="16">
        <v>13189000</v>
      </c>
      <c r="AI164" s="20">
        <v>0.15</v>
      </c>
      <c r="AJ164" s="7">
        <f t="shared" si="16"/>
        <v>1349389.3</v>
      </c>
      <c r="AK164" s="27">
        <f t="shared" si="16"/>
        <v>8.5001225695358062E-3</v>
      </c>
    </row>
    <row r="165" spans="1:37" ht="22.5" x14ac:dyDescent="0.55000000000000004">
      <c r="A165" s="7" t="s">
        <v>520</v>
      </c>
      <c r="B165" s="25">
        <v>0.56597222222222221</v>
      </c>
      <c r="C165" s="7">
        <v>1344447.39</v>
      </c>
      <c r="D165" s="27">
        <f t="shared" si="13"/>
        <v>-3.6623308040164559E-3</v>
      </c>
      <c r="E165" s="7">
        <v>361495.95</v>
      </c>
      <c r="F165" s="27">
        <f t="shared" si="6"/>
        <v>-5.7505119273320027E-3</v>
      </c>
      <c r="G165" s="9">
        <v>53737548.339000002</v>
      </c>
      <c r="H165" s="9">
        <v>27613.722000000002</v>
      </c>
      <c r="I165" s="24">
        <f t="shared" si="14"/>
        <v>27.613722000000003</v>
      </c>
      <c r="J165" s="24">
        <f t="shared" si="17"/>
        <v>29.665183555555554</v>
      </c>
      <c r="K165" s="11">
        <v>10675561.106000001</v>
      </c>
      <c r="L165" s="11">
        <v>3401035.01</v>
      </c>
      <c r="M165" s="11">
        <v>21644.547999999999</v>
      </c>
      <c r="N165" s="13">
        <v>30363</v>
      </c>
      <c r="O165" s="13">
        <f>102+114</f>
        <v>216</v>
      </c>
      <c r="P165" s="13">
        <f>133+274</f>
        <v>407</v>
      </c>
      <c r="Q165" s="13">
        <v>31</v>
      </c>
      <c r="R165" s="23">
        <v>1.07</v>
      </c>
      <c r="S165" s="13">
        <v>124</v>
      </c>
      <c r="T165" s="23">
        <v>3.84</v>
      </c>
      <c r="U165" s="15" t="s">
        <v>521</v>
      </c>
      <c r="V165" s="15" t="s">
        <v>522</v>
      </c>
      <c r="W165" s="24">
        <v>-3.65</v>
      </c>
      <c r="X165" s="24"/>
      <c r="Y165" s="24"/>
      <c r="Z165" s="24"/>
      <c r="AA165" s="16">
        <v>276987</v>
      </c>
      <c r="AB165" s="17">
        <f t="shared" si="12"/>
        <v>244.8278960925964</v>
      </c>
      <c r="AC165" s="27">
        <f t="shared" si="15"/>
        <v>-4.4997286505485956E-3</v>
      </c>
      <c r="AD165" s="19">
        <v>48586</v>
      </c>
      <c r="AE165" s="20">
        <v>0.33</v>
      </c>
      <c r="AF165" s="16">
        <v>131020000</v>
      </c>
      <c r="AG165" s="20">
        <v>-0.54</v>
      </c>
      <c r="AH165" s="16">
        <v>13076000</v>
      </c>
      <c r="AI165" s="20">
        <v>7.0000000000000007E-2</v>
      </c>
      <c r="AJ165" s="7">
        <f t="shared" si="16"/>
        <v>1344447.39</v>
      </c>
      <c r="AK165" s="27">
        <f t="shared" si="16"/>
        <v>-3.6623308040164559E-3</v>
      </c>
    </row>
    <row r="166" spans="1:37" ht="22.5" x14ac:dyDescent="0.55000000000000004">
      <c r="A166" s="7" t="s">
        <v>523</v>
      </c>
      <c r="B166" s="25">
        <v>0.54861111111111105</v>
      </c>
      <c r="C166" s="7">
        <v>1320710.42</v>
      </c>
      <c r="D166" s="27">
        <f t="shared" si="13"/>
        <v>-1.7655558838936769E-2</v>
      </c>
      <c r="E166" s="7">
        <v>355612.59</v>
      </c>
      <c r="F166" s="27">
        <f t="shared" si="6"/>
        <v>-1.6275037106224799E-2</v>
      </c>
      <c r="G166" s="9">
        <v>52790435.189999998</v>
      </c>
      <c r="H166" s="9">
        <v>23494.839</v>
      </c>
      <c r="I166" s="24">
        <f t="shared" si="14"/>
        <v>23.494838999999999</v>
      </c>
      <c r="J166" s="24">
        <f t="shared" si="17"/>
        <v>29.305112555555556</v>
      </c>
      <c r="K166" s="11">
        <v>10611301.257999999</v>
      </c>
      <c r="L166" s="11">
        <v>3376756.2429999998</v>
      </c>
      <c r="M166" s="11">
        <v>24333.925999999999</v>
      </c>
      <c r="N166" s="13">
        <v>22130</v>
      </c>
      <c r="O166" s="13">
        <f>66+67</f>
        <v>133</v>
      </c>
      <c r="P166" s="13">
        <f>172+316</f>
        <v>488</v>
      </c>
      <c r="Q166" s="13">
        <v>18</v>
      </c>
      <c r="R166" s="23">
        <v>0.9</v>
      </c>
      <c r="S166" s="13">
        <v>189</v>
      </c>
      <c r="T166" s="23">
        <v>5.19</v>
      </c>
      <c r="U166" s="15" t="s">
        <v>524</v>
      </c>
      <c r="V166" s="15" t="s">
        <v>525</v>
      </c>
      <c r="W166" s="24">
        <v>-5.31</v>
      </c>
      <c r="X166" s="24"/>
      <c r="Y166" s="24"/>
      <c r="Z166" s="24"/>
      <c r="AA166" s="16">
        <v>276936</v>
      </c>
      <c r="AB166" s="17">
        <f t="shared" si="12"/>
        <v>241.13330405219978</v>
      </c>
      <c r="AC166" s="27">
        <f t="shared" si="15"/>
        <v>-1.8412416467195047E-4</v>
      </c>
      <c r="AD166" s="19">
        <v>48960</v>
      </c>
      <c r="AE166" s="20">
        <v>1</v>
      </c>
      <c r="AF166" s="16">
        <v>130810000</v>
      </c>
      <c r="AG166" s="20">
        <v>0.08</v>
      </c>
      <c r="AH166" s="16">
        <v>12954000</v>
      </c>
      <c r="AI166" s="20">
        <v>-0.18</v>
      </c>
      <c r="AJ166" s="7">
        <f t="shared" si="16"/>
        <v>1320710.42</v>
      </c>
      <c r="AK166" s="27">
        <f t="shared" si="16"/>
        <v>-1.7655558838936769E-2</v>
      </c>
    </row>
    <row r="167" spans="1:37" ht="22.5" x14ac:dyDescent="0.55000000000000004">
      <c r="A167" s="7" t="s">
        <v>526</v>
      </c>
      <c r="B167" s="25">
        <v>0.53402777777777777</v>
      </c>
      <c r="C167" s="7">
        <v>1295529.7</v>
      </c>
      <c r="D167" s="27">
        <f t="shared" si="13"/>
        <v>-1.9066041744412066E-2</v>
      </c>
      <c r="E167" s="7">
        <v>349197.87</v>
      </c>
      <c r="F167" s="27">
        <f t="shared" si="6"/>
        <v>-1.8038506454453818E-2</v>
      </c>
      <c r="G167" s="9">
        <v>51779775.931000002</v>
      </c>
      <c r="H167" s="9">
        <v>30011.224999999999</v>
      </c>
      <c r="I167" s="24">
        <f t="shared" si="14"/>
        <v>30.011225</v>
      </c>
      <c r="J167" s="24">
        <f t="shared" si="17"/>
        <v>29.430409777777779</v>
      </c>
      <c r="K167" s="11">
        <v>10461486.409</v>
      </c>
      <c r="L167" s="11">
        <v>3351219.855</v>
      </c>
      <c r="M167" s="11">
        <v>357773.47700000001</v>
      </c>
      <c r="N167" s="13">
        <v>33244</v>
      </c>
      <c r="O167" s="13">
        <f>42+71</f>
        <v>113</v>
      </c>
      <c r="P167" s="13">
        <f>214+343</f>
        <v>557</v>
      </c>
      <c r="Q167" s="13">
        <v>19</v>
      </c>
      <c r="R167" s="23">
        <v>0.75</v>
      </c>
      <c r="S167" s="13">
        <v>314</v>
      </c>
      <c r="T167" s="23">
        <v>7.6</v>
      </c>
      <c r="U167" s="15" t="s">
        <v>527</v>
      </c>
      <c r="V167" s="15" t="s">
        <v>528</v>
      </c>
      <c r="W167" s="24">
        <v>-5.86</v>
      </c>
      <c r="X167" s="24"/>
      <c r="Y167" s="24"/>
      <c r="Z167" s="24"/>
      <c r="AA167" s="16">
        <v>274804</v>
      </c>
      <c r="AB167" s="17">
        <f t="shared" si="12"/>
        <v>238.6882366886945</v>
      </c>
      <c r="AC167" s="27">
        <f t="shared" si="15"/>
        <v>-7.6985296241730561E-3</v>
      </c>
      <c r="AD167" s="19">
        <v>48881</v>
      </c>
      <c r="AE167" s="20">
        <v>-0.32</v>
      </c>
      <c r="AF167" s="16">
        <v>130030000</v>
      </c>
      <c r="AG167" s="20">
        <v>-0.46</v>
      </c>
      <c r="AH167" s="16">
        <v>12866000</v>
      </c>
      <c r="AI167" s="20">
        <v>-0.52</v>
      </c>
      <c r="AJ167" s="7">
        <f t="shared" si="16"/>
        <v>1295529.7</v>
      </c>
      <c r="AK167" s="27">
        <f t="shared" si="16"/>
        <v>-1.9066041744412066E-2</v>
      </c>
    </row>
    <row r="168" spans="1:37" ht="22.5" x14ac:dyDescent="0.55000000000000004">
      <c r="A168" s="7" t="s">
        <v>529</v>
      </c>
      <c r="B168" s="25">
        <v>0.52777777777777779</v>
      </c>
      <c r="C168" s="7">
        <v>1291795.49</v>
      </c>
      <c r="D168" s="27">
        <f t="shared" si="13"/>
        <v>-2.8823808516315053E-3</v>
      </c>
      <c r="E168" s="7">
        <v>345459.88</v>
      </c>
      <c r="F168" s="27">
        <f t="shared" si="6"/>
        <v>-1.0704504010863536E-2</v>
      </c>
      <c r="G168" s="9">
        <v>51633298.200999998</v>
      </c>
      <c r="H168" s="9">
        <v>30286.106</v>
      </c>
      <c r="I168" s="24">
        <f t="shared" si="14"/>
        <v>30.286106</v>
      </c>
      <c r="J168" s="24">
        <f t="shared" si="17"/>
        <v>29.548952333333332</v>
      </c>
      <c r="K168" s="11">
        <v>10208564.588</v>
      </c>
      <c r="L168" s="11">
        <v>3306687.68</v>
      </c>
      <c r="M168" s="11">
        <v>69848.065000000002</v>
      </c>
      <c r="N168" s="13">
        <v>27827</v>
      </c>
      <c r="O168" s="13">
        <f>111+111</f>
        <v>222</v>
      </c>
      <c r="P168" s="13">
        <f>277+142</f>
        <v>419</v>
      </c>
      <c r="Q168" s="13">
        <v>30</v>
      </c>
      <c r="R168" s="23">
        <v>1.08</v>
      </c>
      <c r="S168" s="13">
        <v>188</v>
      </c>
      <c r="T168" s="23">
        <v>5.16</v>
      </c>
      <c r="U168" s="15" t="s">
        <v>530</v>
      </c>
      <c r="V168" s="15" t="s">
        <v>531</v>
      </c>
      <c r="W168" s="24">
        <v>-4.47</v>
      </c>
      <c r="X168" s="24"/>
      <c r="Y168" s="24"/>
      <c r="Z168" s="24"/>
      <c r="AA168" s="16">
        <v>274217</v>
      </c>
      <c r="AB168" s="17">
        <f t="shared" si="12"/>
        <v>237.58027572688781</v>
      </c>
      <c r="AC168" s="27">
        <f t="shared" si="15"/>
        <v>-2.1360678883859396E-3</v>
      </c>
      <c r="AD168" s="19">
        <v>47360</v>
      </c>
      <c r="AE168" s="20">
        <v>-3.24</v>
      </c>
      <c r="AF168" s="16">
        <v>130310000</v>
      </c>
      <c r="AG168" s="20">
        <v>0.14000000000000001</v>
      </c>
      <c r="AH168" s="16">
        <v>12790000</v>
      </c>
      <c r="AI168" s="20">
        <v>-0.61</v>
      </c>
      <c r="AJ168" s="7">
        <f t="shared" si="16"/>
        <v>1291795.49</v>
      </c>
      <c r="AK168" s="27">
        <f t="shared" si="16"/>
        <v>-2.8823808516315053E-3</v>
      </c>
    </row>
    <row r="169" spans="1:37" ht="22.5" x14ac:dyDescent="0.55000000000000004">
      <c r="A169" s="7" t="s">
        <v>532</v>
      </c>
      <c r="B169" s="25">
        <v>0.53125</v>
      </c>
      <c r="C169" s="7">
        <v>1293237.8999999999</v>
      </c>
      <c r="D169" s="27">
        <f t="shared" si="13"/>
        <v>1.1165931536112339E-3</v>
      </c>
      <c r="E169" s="7">
        <v>344505.98</v>
      </c>
      <c r="F169" s="27">
        <f t="shared" si="6"/>
        <v>-2.7612468342199659E-3</v>
      </c>
      <c r="G169" s="9">
        <v>51691543.167999998</v>
      </c>
      <c r="H169" s="9">
        <v>35580.468000000001</v>
      </c>
      <c r="I169" s="24">
        <f t="shared" si="14"/>
        <v>35.580468000000003</v>
      </c>
      <c r="J169" s="24">
        <f t="shared" si="17"/>
        <v>30.212699444444443</v>
      </c>
      <c r="K169" s="11">
        <v>10218983.138</v>
      </c>
      <c r="L169" s="11">
        <v>3287232.929</v>
      </c>
      <c r="M169" s="11">
        <v>20001.644</v>
      </c>
      <c r="N169" s="13">
        <v>24098</v>
      </c>
      <c r="O169" s="13">
        <f>145+103</f>
        <v>248</v>
      </c>
      <c r="P169" s="13">
        <f>152+236</f>
        <v>388</v>
      </c>
      <c r="Q169" s="13">
        <v>41</v>
      </c>
      <c r="R169" s="23">
        <v>0.59199999999999997</v>
      </c>
      <c r="S169" s="13">
        <v>141</v>
      </c>
      <c r="T169" s="23">
        <v>4.3499999999999996</v>
      </c>
      <c r="U169" s="15" t="s">
        <v>533</v>
      </c>
      <c r="V169" s="15" t="s">
        <v>534</v>
      </c>
      <c r="W169" s="24">
        <v>-3.65</v>
      </c>
      <c r="X169" s="24"/>
      <c r="Y169" s="24"/>
      <c r="Z169" s="24"/>
      <c r="AA169" s="16">
        <v>274217</v>
      </c>
      <c r="AB169" s="17">
        <f t="shared" ref="AB169:AB232" si="18">(L169+K169+G169)/AA169</f>
        <v>237.75972764270631</v>
      </c>
      <c r="AC169" s="27">
        <f t="shared" si="15"/>
        <v>0</v>
      </c>
      <c r="AD169" s="19">
        <v>48570</v>
      </c>
      <c r="AE169" s="20">
        <v>2.4</v>
      </c>
      <c r="AF169" s="16">
        <v>133790000</v>
      </c>
      <c r="AG169" s="20">
        <v>0.65</v>
      </c>
      <c r="AH169" s="16">
        <v>12986000</v>
      </c>
      <c r="AI169" s="20">
        <v>0.12</v>
      </c>
      <c r="AJ169" s="7">
        <f t="shared" si="16"/>
        <v>1293237.8999999999</v>
      </c>
      <c r="AK169" s="27">
        <f t="shared" si="16"/>
        <v>1.1165931536112339E-3</v>
      </c>
    </row>
    <row r="170" spans="1:37" ht="22.5" x14ac:dyDescent="0.55000000000000004">
      <c r="A170" s="7" t="s">
        <v>535</v>
      </c>
      <c r="B170" s="25">
        <v>0.54861111111111105</v>
      </c>
      <c r="C170" s="7">
        <v>1305574.49</v>
      </c>
      <c r="D170" s="27">
        <f t="shared" si="13"/>
        <v>9.5393044079516986E-3</v>
      </c>
      <c r="E170" s="7">
        <v>346980.66</v>
      </c>
      <c r="F170" s="27">
        <f t="shared" si="6"/>
        <v>7.1832715356638932E-3</v>
      </c>
      <c r="G170" s="9">
        <v>52181950.560999997</v>
      </c>
      <c r="H170" s="9">
        <v>28978.013999999999</v>
      </c>
      <c r="I170" s="24">
        <f t="shared" si="14"/>
        <v>28.978013999999998</v>
      </c>
      <c r="J170" s="24">
        <f t="shared" si="17"/>
        <v>30.664182555555549</v>
      </c>
      <c r="K170" s="11">
        <v>10227620.141000001</v>
      </c>
      <c r="L170" s="11">
        <v>3287463.1009999998</v>
      </c>
      <c r="M170" s="11">
        <v>15955.397999999999</v>
      </c>
      <c r="N170" s="13">
        <v>25389</v>
      </c>
      <c r="O170" s="13">
        <f>257+134</f>
        <v>391</v>
      </c>
      <c r="P170" s="13">
        <f>119+127</f>
        <v>246</v>
      </c>
      <c r="Q170" s="13">
        <v>75</v>
      </c>
      <c r="R170" s="23">
        <v>2.25</v>
      </c>
      <c r="S170" s="13">
        <v>90</v>
      </c>
      <c r="T170" s="23">
        <v>3.7</v>
      </c>
      <c r="U170" s="15" t="s">
        <v>536</v>
      </c>
      <c r="V170" s="15" t="s">
        <v>537</v>
      </c>
      <c r="W170" s="24">
        <v>-0.96</v>
      </c>
      <c r="X170" s="24"/>
      <c r="Y170" s="24"/>
      <c r="Z170" s="24"/>
      <c r="AA170" s="16">
        <v>274419</v>
      </c>
      <c r="AB170" s="17">
        <f t="shared" si="18"/>
        <v>239.4041003101097</v>
      </c>
      <c r="AC170" s="27">
        <f t="shared" si="15"/>
        <v>7.3664287772090553E-4</v>
      </c>
      <c r="AD170" s="19">
        <v>46625</v>
      </c>
      <c r="AE170" s="20">
        <v>-1.22</v>
      </c>
      <c r="AF170" s="16">
        <v>131910000</v>
      </c>
      <c r="AG170" s="20">
        <v>0.21</v>
      </c>
      <c r="AH170" s="16">
        <v>13051000</v>
      </c>
      <c r="AI170" s="20">
        <v>0.46</v>
      </c>
      <c r="AJ170" s="7">
        <f t="shared" si="16"/>
        <v>1305574.49</v>
      </c>
      <c r="AK170" s="27">
        <f t="shared" si="16"/>
        <v>9.5393044079516986E-3</v>
      </c>
    </row>
    <row r="171" spans="1:37" ht="22.5" x14ac:dyDescent="0.55000000000000004">
      <c r="A171" s="7" t="s">
        <v>538</v>
      </c>
      <c r="B171" s="25">
        <v>0.54861111111111105</v>
      </c>
      <c r="C171" s="7">
        <v>1291662.79</v>
      </c>
      <c r="D171" s="27">
        <f t="shared" si="13"/>
        <v>-1.0655615674598495E-2</v>
      </c>
      <c r="E171" s="7">
        <v>343492</v>
      </c>
      <c r="F171" s="27">
        <f t="shared" si="6"/>
        <v>-1.0054335593228658E-2</v>
      </c>
      <c r="G171" s="9">
        <v>51628118.763999999</v>
      </c>
      <c r="H171" s="9">
        <v>28610</v>
      </c>
      <c r="I171" s="24">
        <f t="shared" si="14"/>
        <v>28.61</v>
      </c>
      <c r="J171" s="24">
        <f t="shared" si="17"/>
        <v>30.756590777777774</v>
      </c>
      <c r="K171" s="11">
        <v>10152028.319</v>
      </c>
      <c r="L171" s="11">
        <v>3274566.6690000002</v>
      </c>
      <c r="M171" s="11">
        <v>16745</v>
      </c>
      <c r="N171" s="13">
        <v>28345</v>
      </c>
      <c r="O171" s="13">
        <f>68+73</f>
        <v>141</v>
      </c>
      <c r="P171" s="13">
        <f>184+323</f>
        <v>507</v>
      </c>
      <c r="Q171" s="13">
        <v>39</v>
      </c>
      <c r="R171" s="23">
        <v>1.1000000000000001</v>
      </c>
      <c r="S171" s="13">
        <v>149</v>
      </c>
      <c r="T171" s="23">
        <v>4.7</v>
      </c>
      <c r="U171" s="15" t="s">
        <v>539</v>
      </c>
      <c r="V171" s="15" t="s">
        <v>540</v>
      </c>
      <c r="W171" s="24">
        <v>-4.0999999999999996</v>
      </c>
      <c r="X171" s="24"/>
      <c r="Y171" s="24"/>
      <c r="Z171" s="24"/>
      <c r="AA171" s="16">
        <v>274015</v>
      </c>
      <c r="AB171" s="17">
        <f t="shared" si="18"/>
        <v>237.41296553838293</v>
      </c>
      <c r="AC171" s="27">
        <f t="shared" si="15"/>
        <v>-1.4722012688626052E-3</v>
      </c>
      <c r="AD171" s="19">
        <v>47318</v>
      </c>
      <c r="AE171" s="20">
        <v>1.5</v>
      </c>
      <c r="AF171" s="16">
        <v>130410000</v>
      </c>
      <c r="AG171" s="20">
        <v>0.15</v>
      </c>
      <c r="AH171" s="16">
        <v>12799000</v>
      </c>
      <c r="AI171" s="20">
        <v>-0.41</v>
      </c>
      <c r="AJ171" s="7">
        <f t="shared" si="16"/>
        <v>1291662.79</v>
      </c>
      <c r="AK171" s="27">
        <f t="shared" si="16"/>
        <v>-1.0655615674598495E-2</v>
      </c>
    </row>
    <row r="172" spans="1:37" ht="22.5" x14ac:dyDescent="0.55000000000000004">
      <c r="A172" s="7" t="s">
        <v>541</v>
      </c>
      <c r="B172" s="25">
        <v>0.51736111111111105</v>
      </c>
      <c r="C172" s="7">
        <v>1301516.68</v>
      </c>
      <c r="D172" s="27">
        <f t="shared" si="13"/>
        <v>7.6288409608826768E-3</v>
      </c>
      <c r="E172" s="7">
        <v>343901.99</v>
      </c>
      <c r="F172" s="27">
        <f t="shared" si="6"/>
        <v>1.1935940283906987E-3</v>
      </c>
      <c r="G172" s="9">
        <v>52022607.608000003</v>
      </c>
      <c r="H172" s="9">
        <v>34180.951999999997</v>
      </c>
      <c r="I172" s="24">
        <f t="shared" si="14"/>
        <v>34.180951999999998</v>
      </c>
      <c r="J172" s="24">
        <f t="shared" si="17"/>
        <v>30.202923999999996</v>
      </c>
      <c r="K172" s="11">
        <v>10147042.395</v>
      </c>
      <c r="L172" s="11">
        <v>3265272.1090000002</v>
      </c>
      <c r="M172" s="11">
        <v>1177676.057</v>
      </c>
      <c r="N172" s="13">
        <v>28781</v>
      </c>
      <c r="O172" s="13">
        <f>224+143</f>
        <v>367</v>
      </c>
      <c r="P172" s="13">
        <f>157+166</f>
        <v>323</v>
      </c>
      <c r="Q172" s="13">
        <v>70</v>
      </c>
      <c r="R172" s="23">
        <v>1.3</v>
      </c>
      <c r="S172" s="13">
        <v>109</v>
      </c>
      <c r="T172" s="23">
        <v>4.0999999999999996</v>
      </c>
      <c r="U172" s="15" t="s">
        <v>542</v>
      </c>
      <c r="V172" s="15" t="s">
        <v>543</v>
      </c>
      <c r="W172" s="24">
        <v>-2.6</v>
      </c>
      <c r="X172" s="24"/>
      <c r="Y172" s="24"/>
      <c r="Z172" s="24"/>
      <c r="AA172" s="16">
        <v>274015</v>
      </c>
      <c r="AB172" s="17">
        <f t="shared" si="18"/>
        <v>238.80051132967174</v>
      </c>
      <c r="AC172" s="27">
        <f t="shared" si="15"/>
        <v>0</v>
      </c>
      <c r="AD172" s="19">
        <v>46350</v>
      </c>
      <c r="AE172" s="20">
        <v>-2.5099999999999998</v>
      </c>
      <c r="AF172" s="16">
        <v>130260000</v>
      </c>
      <c r="AG172" s="20">
        <v>-0.17</v>
      </c>
      <c r="AH172" s="16">
        <v>12818000</v>
      </c>
      <c r="AI172" s="20">
        <v>0.02</v>
      </c>
      <c r="AJ172" s="7">
        <f t="shared" si="16"/>
        <v>1301516.68</v>
      </c>
      <c r="AK172" s="27">
        <f t="shared" si="16"/>
        <v>7.6288409608826768E-3</v>
      </c>
    </row>
    <row r="173" spans="1:37" ht="22.5" x14ac:dyDescent="0.55000000000000004">
      <c r="A173" s="7" t="s">
        <v>544</v>
      </c>
      <c r="B173" s="25">
        <v>0.51666666666666672</v>
      </c>
      <c r="C173" s="7">
        <v>1318467.69</v>
      </c>
      <c r="D173" s="27">
        <f t="shared" si="13"/>
        <v>1.3024043610412983E-2</v>
      </c>
      <c r="E173" s="7">
        <v>348214.13</v>
      </c>
      <c r="F173" s="27">
        <f t="shared" si="6"/>
        <v>1.2538863180175275E-2</v>
      </c>
      <c r="G173" s="9">
        <v>52695011.186999999</v>
      </c>
      <c r="H173" s="9">
        <v>27910.482</v>
      </c>
      <c r="I173" s="24">
        <f t="shared" si="14"/>
        <v>27.910481999999998</v>
      </c>
      <c r="J173" s="24">
        <f t="shared" si="17"/>
        <v>29.629534222222226</v>
      </c>
      <c r="K173" s="11">
        <v>10193186.625</v>
      </c>
      <c r="L173" s="11">
        <v>3267296.27</v>
      </c>
      <c r="M173" s="11">
        <v>25925.714</v>
      </c>
      <c r="N173" s="13">
        <v>29886</v>
      </c>
      <c r="O173" s="13">
        <f>342+192</f>
        <v>534</v>
      </c>
      <c r="P173" s="13">
        <f>80+60</f>
        <v>140</v>
      </c>
      <c r="Q173" s="13">
        <v>140</v>
      </c>
      <c r="R173" s="23">
        <v>2.52</v>
      </c>
      <c r="S173" s="13">
        <v>64</v>
      </c>
      <c r="T173" s="23">
        <v>2.5</v>
      </c>
      <c r="U173" s="15" t="s">
        <v>545</v>
      </c>
      <c r="V173" s="15" t="s">
        <v>546</v>
      </c>
      <c r="W173" s="24">
        <v>-1.67</v>
      </c>
      <c r="X173" s="24"/>
      <c r="Y173" s="24"/>
      <c r="Z173" s="24"/>
      <c r="AA173" s="16">
        <v>273005</v>
      </c>
      <c r="AB173" s="17">
        <f t="shared" si="18"/>
        <v>242.32337899305875</v>
      </c>
      <c r="AC173" s="27">
        <f t="shared" si="15"/>
        <v>-3.6859296023940002E-3</v>
      </c>
      <c r="AD173" s="19">
        <v>47720</v>
      </c>
      <c r="AE173" s="20">
        <v>5.14</v>
      </c>
      <c r="AF173" s="16">
        <v>132420000</v>
      </c>
      <c r="AG173" s="20">
        <v>0.63</v>
      </c>
      <c r="AH173" s="16">
        <v>12871000</v>
      </c>
      <c r="AI173" s="20">
        <v>7.0000000000000007E-2</v>
      </c>
      <c r="AJ173" s="7">
        <f t="shared" si="16"/>
        <v>1318467.69</v>
      </c>
      <c r="AK173" s="27">
        <f t="shared" si="16"/>
        <v>1.3024043610412983E-2</v>
      </c>
    </row>
    <row r="174" spans="1:37" ht="22.5" x14ac:dyDescent="0.55000000000000004">
      <c r="A174" s="7" t="s">
        <v>547</v>
      </c>
      <c r="B174" s="25">
        <v>0.55555555555555558</v>
      </c>
      <c r="C174" s="7">
        <v>1359012.48</v>
      </c>
      <c r="D174" s="27">
        <f t="shared" si="13"/>
        <v>3.0751447538316379E-2</v>
      </c>
      <c r="E174" s="7">
        <v>357767.94</v>
      </c>
      <c r="F174" s="27">
        <f t="shared" si="6"/>
        <v>2.7436594833184946E-2</v>
      </c>
      <c r="G174" s="9">
        <v>54320390.034999996</v>
      </c>
      <c r="H174" s="9">
        <v>42805.525000000001</v>
      </c>
      <c r="I174" s="24">
        <f t="shared" si="14"/>
        <v>42.805525000000003</v>
      </c>
      <c r="J174" s="24">
        <f t="shared" si="17"/>
        <v>31.31751233333333</v>
      </c>
      <c r="K174" s="11">
        <v>10336889.493000001</v>
      </c>
      <c r="L174" s="11">
        <v>3288892.5350000001</v>
      </c>
      <c r="M174" s="11">
        <v>17872.999</v>
      </c>
      <c r="N174" s="13">
        <v>38920</v>
      </c>
      <c r="O174" s="13">
        <f>375+196</f>
        <v>571</v>
      </c>
      <c r="P174" s="13">
        <f>22+49</f>
        <v>71</v>
      </c>
      <c r="Q174" s="13">
        <v>294</v>
      </c>
      <c r="R174" s="23">
        <v>8.1999999999999993</v>
      </c>
      <c r="S174" s="13">
        <v>52</v>
      </c>
      <c r="T174" s="23">
        <v>3.18</v>
      </c>
      <c r="U174" s="15" t="s">
        <v>548</v>
      </c>
      <c r="V174" s="15" t="s">
        <v>549</v>
      </c>
      <c r="W174" s="24">
        <v>2.3199999999999998</v>
      </c>
      <c r="X174" s="24"/>
      <c r="Y174" s="24"/>
      <c r="Z174" s="24"/>
      <c r="AA174" s="16">
        <v>274015</v>
      </c>
      <c r="AB174" s="17">
        <f t="shared" si="18"/>
        <v>247.9651554221484</v>
      </c>
      <c r="AC174" s="27">
        <f t="shared" si="15"/>
        <v>3.6995659420158145E-3</v>
      </c>
      <c r="AD174" s="19">
        <v>48973</v>
      </c>
      <c r="AE174" s="20">
        <v>0.75</v>
      </c>
      <c r="AF174" s="16">
        <v>132320000</v>
      </c>
      <c r="AG174" s="20">
        <v>0.01</v>
      </c>
      <c r="AH174" s="16">
        <v>13030000</v>
      </c>
      <c r="AI174" s="20">
        <v>0.45</v>
      </c>
      <c r="AJ174" s="7">
        <f t="shared" si="16"/>
        <v>1359012.48</v>
      </c>
      <c r="AK174" s="27">
        <f t="shared" si="16"/>
        <v>3.0751447538316379E-2</v>
      </c>
    </row>
    <row r="175" spans="1:37" ht="22.5" x14ac:dyDescent="0.55000000000000004">
      <c r="A175" s="7" t="s">
        <v>550</v>
      </c>
      <c r="B175" s="25">
        <v>0.53749999999999998</v>
      </c>
      <c r="C175" s="7">
        <v>1385535.89</v>
      </c>
      <c r="D175" s="27">
        <f t="shared" si="13"/>
        <v>1.9516678757799166E-2</v>
      </c>
      <c r="E175" s="7">
        <v>361929.12</v>
      </c>
      <c r="F175" s="27">
        <f t="shared" si="6"/>
        <v>1.1630947144118053E-2</v>
      </c>
      <c r="G175" s="9">
        <v>55378335.950000003</v>
      </c>
      <c r="H175" s="9">
        <v>42342.074000000001</v>
      </c>
      <c r="I175" s="24">
        <f t="shared" si="14"/>
        <v>42.342074000000004</v>
      </c>
      <c r="J175" s="24">
        <f t="shared" si="17"/>
        <v>33.411649555555556</v>
      </c>
      <c r="K175" s="11">
        <v>10354157.957</v>
      </c>
      <c r="L175" s="11">
        <v>3307818.176</v>
      </c>
      <c r="M175" s="11">
        <v>49758.451000000001</v>
      </c>
      <c r="N175" s="13">
        <v>48151</v>
      </c>
      <c r="O175" s="13">
        <f>224+164</f>
        <v>388</v>
      </c>
      <c r="P175" s="13">
        <f>170+88</f>
        <v>258</v>
      </c>
      <c r="Q175" s="13">
        <v>81</v>
      </c>
      <c r="R175" s="23">
        <v>4.0999999999999996</v>
      </c>
      <c r="S175" s="13">
        <v>76</v>
      </c>
      <c r="T175" s="23">
        <v>1.95</v>
      </c>
      <c r="U175" s="15" t="s">
        <v>551</v>
      </c>
      <c r="V175" s="15" t="s">
        <v>552</v>
      </c>
      <c r="W175" s="24">
        <v>-2.5499999999999998</v>
      </c>
      <c r="X175" s="24"/>
      <c r="Y175" s="24"/>
      <c r="Z175" s="24"/>
      <c r="AA175" s="16">
        <v>274015</v>
      </c>
      <c r="AB175" s="17">
        <f t="shared" si="18"/>
        <v>251.95814857945734</v>
      </c>
      <c r="AC175" s="27">
        <f t="shared" si="15"/>
        <v>0</v>
      </c>
      <c r="AD175" s="19">
        <v>50959</v>
      </c>
      <c r="AE175" s="20">
        <v>-0.34</v>
      </c>
      <c r="AF175" s="16">
        <v>130670000</v>
      </c>
      <c r="AG175" s="20">
        <v>-0.88</v>
      </c>
      <c r="AH175" s="16">
        <v>12882000</v>
      </c>
      <c r="AI175" s="20">
        <v>-1.06</v>
      </c>
      <c r="AJ175" s="7">
        <f t="shared" si="16"/>
        <v>1385535.89</v>
      </c>
      <c r="AK175" s="27">
        <f t="shared" si="16"/>
        <v>1.9516678757799166E-2</v>
      </c>
    </row>
    <row r="176" spans="1:37" ht="22.5" x14ac:dyDescent="0.55000000000000004">
      <c r="A176" s="7" t="s">
        <v>553</v>
      </c>
      <c r="B176" s="25">
        <v>0.53749999999999998</v>
      </c>
      <c r="C176" s="7">
        <v>1384013.19</v>
      </c>
      <c r="D176" s="27">
        <f t="shared" si="13"/>
        <v>-1.098997154090342E-3</v>
      </c>
      <c r="E176" s="7">
        <v>360268.98</v>
      </c>
      <c r="F176" s="27">
        <f t="shared" si="6"/>
        <v>-4.5869202234957163E-3</v>
      </c>
      <c r="G176" s="9">
        <v>55318262.200000003</v>
      </c>
      <c r="H176" s="9">
        <v>36101.1</v>
      </c>
      <c r="I176" s="24">
        <f t="shared" si="14"/>
        <v>36.101099999999995</v>
      </c>
      <c r="J176" s="24">
        <f t="shared" si="17"/>
        <v>34.088302333333331</v>
      </c>
      <c r="K176" s="11">
        <v>10266837.018999999</v>
      </c>
      <c r="L176" s="11">
        <v>3295021.39</v>
      </c>
      <c r="M176" s="11">
        <v>46817.627</v>
      </c>
      <c r="N176" s="13">
        <v>39360</v>
      </c>
      <c r="O176" s="13">
        <f>186+135</f>
        <v>321</v>
      </c>
      <c r="P176" s="13">
        <f>109+199</f>
        <v>308</v>
      </c>
      <c r="Q176" s="13">
        <v>72</v>
      </c>
      <c r="R176" s="23">
        <v>1.2</v>
      </c>
      <c r="S176" s="13">
        <v>72</v>
      </c>
      <c r="T176" s="23">
        <v>3.03</v>
      </c>
      <c r="U176" s="15" t="s">
        <v>554</v>
      </c>
      <c r="V176" s="15" t="s">
        <v>555</v>
      </c>
      <c r="W176" s="24">
        <v>-3.97</v>
      </c>
      <c r="X176" s="24"/>
      <c r="Y176" s="24"/>
      <c r="Z176" s="24"/>
      <c r="AA176" s="16">
        <v>274015</v>
      </c>
      <c r="AB176" s="17">
        <f t="shared" si="18"/>
        <v>251.37354016750908</v>
      </c>
      <c r="AC176" s="27">
        <f t="shared" si="15"/>
        <v>0</v>
      </c>
      <c r="AD176" s="19">
        <v>49903</v>
      </c>
      <c r="AE176" s="20">
        <v>-1.92</v>
      </c>
      <c r="AF176" s="16">
        <v>130090000</v>
      </c>
      <c r="AG176" s="20">
        <v>-0.21</v>
      </c>
      <c r="AH176" s="16">
        <v>12880000</v>
      </c>
      <c r="AI176" s="20">
        <v>0.21</v>
      </c>
      <c r="AJ176" s="7">
        <f t="shared" si="16"/>
        <v>1384013.19</v>
      </c>
      <c r="AK176" s="27">
        <f t="shared" si="16"/>
        <v>-1.098997154090342E-3</v>
      </c>
    </row>
    <row r="177" spans="1:37" ht="22.5" x14ac:dyDescent="0.55000000000000004">
      <c r="A177" s="7" t="s">
        <v>556</v>
      </c>
      <c r="B177" s="25">
        <v>0.51388888888888895</v>
      </c>
      <c r="C177" s="7">
        <v>1400290.63</v>
      </c>
      <c r="D177" s="27">
        <f t="shared" si="13"/>
        <v>1.1761043982535968E-2</v>
      </c>
      <c r="E177" s="7">
        <v>365389.27</v>
      </c>
      <c r="F177" s="27">
        <f t="shared" si="6"/>
        <v>1.4212408739714633E-2</v>
      </c>
      <c r="G177" s="9">
        <v>55971174.111000001</v>
      </c>
      <c r="H177" s="9">
        <v>38809.813999999998</v>
      </c>
      <c r="I177" s="24">
        <f t="shared" si="14"/>
        <v>38.809813999999996</v>
      </c>
      <c r="J177" s="24">
        <f t="shared" si="17"/>
        <v>35.035381000000001</v>
      </c>
      <c r="K177" s="11">
        <v>10301101.495999999</v>
      </c>
      <c r="L177" s="11">
        <v>3293821.017</v>
      </c>
      <c r="M177" s="11">
        <v>830251.58</v>
      </c>
      <c r="N177" s="13">
        <v>41457</v>
      </c>
      <c r="O177" s="13">
        <f>294+189</f>
        <v>483</v>
      </c>
      <c r="P177" s="13">
        <f>100+106</f>
        <v>206</v>
      </c>
      <c r="Q177" s="13">
        <v>103</v>
      </c>
      <c r="R177" s="23">
        <v>2.2000000000000002</v>
      </c>
      <c r="S177" s="13">
        <v>61</v>
      </c>
      <c r="T177" s="23">
        <v>2.7</v>
      </c>
      <c r="U177" s="15" t="s">
        <v>557</v>
      </c>
      <c r="V177" s="15" t="s">
        <v>558</v>
      </c>
      <c r="W177" s="24">
        <v>-2.0699999999999998</v>
      </c>
      <c r="X177" s="24"/>
      <c r="Y177" s="24"/>
      <c r="Z177" s="24"/>
      <c r="AA177" s="16">
        <v>274015</v>
      </c>
      <c r="AB177" s="17">
        <f t="shared" si="18"/>
        <v>253.87696521723262</v>
      </c>
      <c r="AC177" s="27">
        <f t="shared" si="15"/>
        <v>0</v>
      </c>
      <c r="AD177" s="19">
        <v>50829</v>
      </c>
      <c r="AE177" s="20">
        <v>1.78</v>
      </c>
      <c r="AF177" s="16">
        <v>130980000</v>
      </c>
      <c r="AG177" s="20">
        <v>-0.37</v>
      </c>
      <c r="AH177" s="16">
        <v>12947000</v>
      </c>
      <c r="AI177" s="20">
        <v>-0.25</v>
      </c>
      <c r="AJ177" s="7">
        <f t="shared" si="16"/>
        <v>1400290.63</v>
      </c>
      <c r="AK177" s="27">
        <f t="shared" si="16"/>
        <v>1.1761043982535968E-2</v>
      </c>
    </row>
    <row r="178" spans="1:37" ht="22.5" x14ac:dyDescent="0.55000000000000004">
      <c r="A178" s="7" t="s">
        <v>559</v>
      </c>
      <c r="B178" s="25">
        <v>0.53472222222222221</v>
      </c>
      <c r="C178" s="7">
        <v>1399885.88</v>
      </c>
      <c r="D178" s="27">
        <f t="shared" si="13"/>
        <v>-2.8904713873578736E-4</v>
      </c>
      <c r="E178" s="7">
        <v>367362.58</v>
      </c>
      <c r="F178" s="27">
        <f t="shared" si="6"/>
        <v>5.4005690971712372E-3</v>
      </c>
      <c r="G178" s="9">
        <v>55873384.732000001</v>
      </c>
      <c r="H178" s="9">
        <v>31868.673999999999</v>
      </c>
      <c r="I178" s="24">
        <f t="shared" si="14"/>
        <v>31.868673999999999</v>
      </c>
      <c r="J178" s="24">
        <f t="shared" si="17"/>
        <v>34.622959444444447</v>
      </c>
      <c r="K178" s="11">
        <v>10361563.558</v>
      </c>
      <c r="L178" s="11">
        <v>3291100.4580000001</v>
      </c>
      <c r="M178" s="11">
        <v>17396.308000000001</v>
      </c>
      <c r="N178" s="13">
        <v>34702</v>
      </c>
      <c r="O178" s="13">
        <f>170+247</f>
        <v>417</v>
      </c>
      <c r="P178" s="13">
        <f>77+148</f>
        <v>225</v>
      </c>
      <c r="Q178" s="13">
        <v>107</v>
      </c>
      <c r="R178" s="23">
        <v>3.08</v>
      </c>
      <c r="S178" s="13">
        <v>62</v>
      </c>
      <c r="T178" s="23">
        <v>3.05</v>
      </c>
      <c r="U178" s="15" t="s">
        <v>560</v>
      </c>
      <c r="V178" s="15" t="s">
        <v>561</v>
      </c>
      <c r="W178" s="24">
        <v>-1.38</v>
      </c>
      <c r="X178" s="24"/>
      <c r="Y178" s="24"/>
      <c r="Z178" s="24"/>
      <c r="AA178" s="16">
        <v>274015</v>
      </c>
      <c r="AB178" s="17">
        <f t="shared" si="18"/>
        <v>253.7308130868748</v>
      </c>
      <c r="AC178" s="27">
        <f t="shared" si="15"/>
        <v>0</v>
      </c>
      <c r="AD178" s="19">
        <v>49381</v>
      </c>
      <c r="AE178" s="20">
        <v>-2.52</v>
      </c>
      <c r="AF178" s="16">
        <v>130220000</v>
      </c>
      <c r="AG178" s="20">
        <v>-0.73</v>
      </c>
      <c r="AH178" s="16">
        <v>12868000</v>
      </c>
      <c r="AI178" s="20">
        <v>-0.52</v>
      </c>
      <c r="AJ178" s="7">
        <f t="shared" si="16"/>
        <v>1399885.88</v>
      </c>
      <c r="AK178" s="27">
        <f t="shared" si="16"/>
        <v>-2.8904713873578736E-4</v>
      </c>
    </row>
    <row r="179" spans="1:37" ht="22.5" x14ac:dyDescent="0.55000000000000004">
      <c r="A179" s="7" t="s">
        <v>562</v>
      </c>
      <c r="B179" s="25">
        <v>0.53472222222222221</v>
      </c>
      <c r="C179" s="7">
        <v>1397353.84</v>
      </c>
      <c r="D179" s="27">
        <f t="shared" si="13"/>
        <v>-1.8087474387553648E-3</v>
      </c>
      <c r="E179" s="7">
        <v>368099</v>
      </c>
      <c r="F179" s="27">
        <f t="shared" si="6"/>
        <v>2.0046135346718508E-3</v>
      </c>
      <c r="G179" s="9">
        <v>56002476</v>
      </c>
      <c r="H179" s="9">
        <v>35975.673999999999</v>
      </c>
      <c r="I179" s="24">
        <f t="shared" si="14"/>
        <v>35.975673999999998</v>
      </c>
      <c r="J179" s="24">
        <f t="shared" si="17"/>
        <v>35.400477222222221</v>
      </c>
      <c r="K179" s="11">
        <v>10365289.663000001</v>
      </c>
      <c r="L179" s="11">
        <v>3283971.7609999999</v>
      </c>
      <c r="M179" s="11">
        <v>21301.585999999999</v>
      </c>
      <c r="N179" s="13">
        <v>40316</v>
      </c>
      <c r="O179" s="13">
        <f>147+119</f>
        <v>266</v>
      </c>
      <c r="P179" s="13">
        <f>125+242</f>
        <v>367</v>
      </c>
      <c r="Q179" s="13">
        <v>59</v>
      </c>
      <c r="R179" s="23">
        <v>1.7</v>
      </c>
      <c r="S179" s="13">
        <v>80</v>
      </c>
      <c r="T179" s="23">
        <v>3.9</v>
      </c>
      <c r="U179" s="15" t="s">
        <v>563</v>
      </c>
      <c r="V179" s="15" t="s">
        <v>564</v>
      </c>
      <c r="W179" s="24">
        <v>-4.54</v>
      </c>
      <c r="X179" s="24"/>
      <c r="Y179" s="24"/>
      <c r="Z179" s="24"/>
      <c r="AA179" s="16">
        <v>274015</v>
      </c>
      <c r="AB179" s="17">
        <f t="shared" si="18"/>
        <v>254.18950577158182</v>
      </c>
      <c r="AC179" s="27">
        <f t="shared" si="15"/>
        <v>0</v>
      </c>
      <c r="AD179" s="19">
        <v>47720</v>
      </c>
      <c r="AE179" s="20">
        <v>-2.86</v>
      </c>
      <c r="AF179" s="16">
        <v>130710000</v>
      </c>
      <c r="AG179" s="20">
        <v>0.27</v>
      </c>
      <c r="AH179" s="16">
        <v>12880000</v>
      </c>
      <c r="AI179" s="20">
        <v>0.05</v>
      </c>
      <c r="AJ179" s="7">
        <f t="shared" si="16"/>
        <v>1397353.84</v>
      </c>
      <c r="AK179" s="27">
        <f t="shared" si="16"/>
        <v>-1.8087474387553648E-3</v>
      </c>
    </row>
    <row r="180" spans="1:37" ht="22.5" x14ac:dyDescent="0.55000000000000004">
      <c r="A180" s="7" t="s">
        <v>565</v>
      </c>
      <c r="B180" s="25">
        <v>0.53819444444444442</v>
      </c>
      <c r="C180" s="7">
        <v>1378777.4</v>
      </c>
      <c r="D180" s="27">
        <f t="shared" si="13"/>
        <v>-1.3294012918016684E-2</v>
      </c>
      <c r="E180" s="7">
        <v>363469.19</v>
      </c>
      <c r="F180" s="27">
        <f t="shared" si="6"/>
        <v>-1.2577621781096893E-2</v>
      </c>
      <c r="G180" s="9">
        <v>55259487.016999997</v>
      </c>
      <c r="H180" s="9">
        <v>32730.45</v>
      </c>
      <c r="I180" s="24">
        <f t="shared" si="14"/>
        <v>32.730449999999998</v>
      </c>
      <c r="J180" s="24">
        <f t="shared" si="17"/>
        <v>35.858305000000001</v>
      </c>
      <c r="K180" s="11">
        <v>10271062.913000001</v>
      </c>
      <c r="L180" s="11">
        <v>3278925.9819999998</v>
      </c>
      <c r="M180" s="11">
        <v>21737.519</v>
      </c>
      <c r="N180" s="13">
        <v>27429</v>
      </c>
      <c r="O180" s="13">
        <f>86+102</f>
        <v>188</v>
      </c>
      <c r="P180" s="13">
        <f>139+305</f>
        <v>444</v>
      </c>
      <c r="Q180" s="13">
        <v>52</v>
      </c>
      <c r="R180" s="23">
        <v>0.97</v>
      </c>
      <c r="S180" s="13">
        <v>126</v>
      </c>
      <c r="T180" s="23">
        <v>5.0999999999999996</v>
      </c>
      <c r="U180" s="15" t="s">
        <v>566</v>
      </c>
      <c r="V180" s="15" t="s">
        <v>567</v>
      </c>
      <c r="W180" s="24">
        <v>-4.8899999999999997</v>
      </c>
      <c r="X180" s="24"/>
      <c r="Y180" s="24"/>
      <c r="Z180" s="24"/>
      <c r="AA180" s="16">
        <v>273953</v>
      </c>
      <c r="AB180" s="17">
        <f t="shared" si="18"/>
        <v>251.17255847535893</v>
      </c>
      <c r="AC180" s="27">
        <f t="shared" si="15"/>
        <v>-2.2626498549349616E-4</v>
      </c>
      <c r="AD180" s="19">
        <v>47160</v>
      </c>
      <c r="AE180" s="20">
        <v>-2.66</v>
      </c>
      <c r="AF180" s="16">
        <v>131280000</v>
      </c>
      <c r="AG180" s="20">
        <v>-7.0000000000000007E-2</v>
      </c>
      <c r="AH180" s="16">
        <v>12984000</v>
      </c>
      <c r="AI180" s="20">
        <v>7.0000000000000007E-2</v>
      </c>
      <c r="AJ180" s="7">
        <f t="shared" si="16"/>
        <v>1378777.4</v>
      </c>
      <c r="AK180" s="27">
        <f t="shared" si="16"/>
        <v>-1.3294012918016684E-2</v>
      </c>
    </row>
    <row r="181" spans="1:37" ht="22.5" x14ac:dyDescent="0.55000000000000004">
      <c r="A181" s="7" t="s">
        <v>568</v>
      </c>
      <c r="B181" s="25">
        <v>0.53819444444444442</v>
      </c>
      <c r="C181" s="7">
        <v>1379041.1</v>
      </c>
      <c r="D181" s="27">
        <f t="shared" si="13"/>
        <v>1.9125639860373411E-4</v>
      </c>
      <c r="E181" s="7">
        <v>363521.74</v>
      </c>
      <c r="F181" s="27">
        <f t="shared" si="6"/>
        <v>1.4457896692698924E-4</v>
      </c>
      <c r="G181" s="9">
        <v>55272070.191</v>
      </c>
      <c r="H181" s="9">
        <v>21468.38</v>
      </c>
      <c r="I181" s="24">
        <f t="shared" si="14"/>
        <v>21.46838</v>
      </c>
      <c r="J181" s="24">
        <f t="shared" si="17"/>
        <v>34.445796999999999</v>
      </c>
      <c r="K181" s="11">
        <v>10268822.774</v>
      </c>
      <c r="L181" s="11">
        <v>3259647.9709999999</v>
      </c>
      <c r="M181" s="11">
        <v>17527.794999999998</v>
      </c>
      <c r="N181" s="13">
        <v>23996</v>
      </c>
      <c r="O181" s="13">
        <f>128+180</f>
        <v>308</v>
      </c>
      <c r="P181" s="13">
        <f>192+120</f>
        <v>312</v>
      </c>
      <c r="Q181" s="13">
        <v>62</v>
      </c>
      <c r="R181" s="23">
        <v>1.2</v>
      </c>
      <c r="S181" s="13">
        <v>77</v>
      </c>
      <c r="T181" s="23">
        <v>4.0199999999999996</v>
      </c>
      <c r="U181" s="15" t="s">
        <v>569</v>
      </c>
      <c r="V181" s="15" t="s">
        <v>570</v>
      </c>
      <c r="W181" s="24">
        <v>-2.13</v>
      </c>
      <c r="X181" s="24"/>
      <c r="Y181" s="24"/>
      <c r="Z181" s="24"/>
      <c r="AA181" s="16">
        <v>273953</v>
      </c>
      <c r="AB181" s="17">
        <f t="shared" si="18"/>
        <v>251.13994347935596</v>
      </c>
      <c r="AC181" s="27">
        <f t="shared" si="15"/>
        <v>0</v>
      </c>
      <c r="AD181" s="19">
        <v>47203</v>
      </c>
      <c r="AE181" s="20">
        <v>0.05</v>
      </c>
      <c r="AF181" s="16">
        <v>130720000</v>
      </c>
      <c r="AG181" s="20">
        <v>-0.05</v>
      </c>
      <c r="AH181" s="16">
        <v>12885000</v>
      </c>
      <c r="AI181" s="20">
        <v>-0.33</v>
      </c>
      <c r="AJ181" s="7">
        <f t="shared" si="16"/>
        <v>1379041.1</v>
      </c>
      <c r="AK181" s="27">
        <f t="shared" si="16"/>
        <v>1.9125639860373411E-4</v>
      </c>
    </row>
    <row r="182" spans="1:37" ht="22.5" x14ac:dyDescent="0.55000000000000004">
      <c r="A182" s="7" t="s">
        <v>571</v>
      </c>
      <c r="B182" s="25">
        <v>0.53333333333333333</v>
      </c>
      <c r="C182" s="7">
        <v>1376069.96</v>
      </c>
      <c r="D182" s="27">
        <f t="shared" si="13"/>
        <v>-2.1544970632130234E-3</v>
      </c>
      <c r="E182" s="7">
        <v>363241.96</v>
      </c>
      <c r="F182" s="27">
        <f t="shared" si="6"/>
        <v>-7.6963760131643078E-4</v>
      </c>
      <c r="G182" s="9">
        <v>55151461.075000003</v>
      </c>
      <c r="H182" s="9">
        <v>18532.589</v>
      </c>
      <c r="I182" s="24">
        <f t="shared" si="14"/>
        <v>18.532589000000002</v>
      </c>
      <c r="J182" s="24">
        <f t="shared" si="17"/>
        <v>33.403808888888889</v>
      </c>
      <c r="K182" s="11">
        <v>10232950.048</v>
      </c>
      <c r="L182" s="11">
        <v>3252762.2940000002</v>
      </c>
      <c r="M182" s="11">
        <v>1239302.888</v>
      </c>
      <c r="N182" s="13">
        <v>23053</v>
      </c>
      <c r="O182" s="13">
        <f>115+113</f>
        <v>228</v>
      </c>
      <c r="P182" s="13">
        <f>178+259</f>
        <v>437</v>
      </c>
      <c r="Q182" s="13">
        <v>61</v>
      </c>
      <c r="R182" s="23">
        <v>1.4</v>
      </c>
      <c r="S182" s="13">
        <v>79</v>
      </c>
      <c r="T182" s="23">
        <v>4.5999999999999996</v>
      </c>
      <c r="U182" s="15" t="s">
        <v>572</v>
      </c>
      <c r="V182" s="15" t="s">
        <v>573</v>
      </c>
      <c r="W182" s="24">
        <v>-2.35</v>
      </c>
      <c r="X182" s="24"/>
      <c r="Y182" s="24"/>
      <c r="Z182" s="24"/>
      <c r="AA182" s="16">
        <v>273953</v>
      </c>
      <c r="AB182" s="17">
        <f t="shared" si="18"/>
        <v>250.54360936730021</v>
      </c>
      <c r="AC182" s="27">
        <f t="shared" si="15"/>
        <v>0</v>
      </c>
      <c r="AD182" s="19">
        <v>46981</v>
      </c>
      <c r="AE182" s="20">
        <v>-0.47</v>
      </c>
      <c r="AF182" s="16">
        <v>130690000</v>
      </c>
      <c r="AG182" s="20">
        <v>-0.21</v>
      </c>
      <c r="AH182" s="16">
        <v>12818000</v>
      </c>
      <c r="AI182" s="20">
        <v>-0.94</v>
      </c>
      <c r="AJ182" s="7">
        <f t="shared" si="16"/>
        <v>1376069.96</v>
      </c>
      <c r="AK182" s="27">
        <f t="shared" si="16"/>
        <v>-2.1544970632130234E-3</v>
      </c>
    </row>
    <row r="183" spans="1:37" ht="22.5" x14ac:dyDescent="0.55000000000000004">
      <c r="A183" s="7" t="s">
        <v>574</v>
      </c>
      <c r="B183" s="25">
        <v>0.53402777777777777</v>
      </c>
      <c r="C183" s="7">
        <v>1362794.27</v>
      </c>
      <c r="D183" s="27">
        <f t="shared" si="13"/>
        <v>-9.6475400131544875E-3</v>
      </c>
      <c r="E183" s="7">
        <v>359982.01</v>
      </c>
      <c r="F183" s="27">
        <f t="shared" si="6"/>
        <v>-8.974596437041571E-3</v>
      </c>
      <c r="G183" s="9">
        <v>54619633.439999998</v>
      </c>
      <c r="H183" s="9">
        <v>23458.772000000001</v>
      </c>
      <c r="I183" s="24">
        <f t="shared" si="14"/>
        <v>23.458772</v>
      </c>
      <c r="J183" s="24">
        <f t="shared" si="17"/>
        <v>31.25416966666667</v>
      </c>
      <c r="K183" s="11">
        <v>10142672.450999999</v>
      </c>
      <c r="L183" s="11">
        <v>3230312.6639999999</v>
      </c>
      <c r="M183" s="11">
        <v>48067.360999999997</v>
      </c>
      <c r="N183" s="13">
        <v>25029</v>
      </c>
      <c r="O183" s="13">
        <f>92+86</f>
        <v>178</v>
      </c>
      <c r="P183" s="13">
        <f>293+169</f>
        <v>462</v>
      </c>
      <c r="Q183" s="13">
        <v>39</v>
      </c>
      <c r="R183" s="23">
        <v>0.82</v>
      </c>
      <c r="S183" s="13">
        <v>103</v>
      </c>
      <c r="T183" s="23">
        <v>4.05</v>
      </c>
      <c r="U183" s="15" t="s">
        <v>575</v>
      </c>
      <c r="V183" s="15" t="s">
        <v>576</v>
      </c>
      <c r="W183" s="24">
        <v>-4.24</v>
      </c>
      <c r="X183" s="24"/>
      <c r="Y183" s="24"/>
      <c r="Z183" s="24"/>
      <c r="AA183" s="16">
        <v>269900</v>
      </c>
      <c r="AB183" s="17">
        <f t="shared" si="18"/>
        <v>251.91781606150423</v>
      </c>
      <c r="AC183" s="27">
        <f t="shared" si="15"/>
        <v>-1.4794508547086527E-2</v>
      </c>
      <c r="AD183" s="19">
        <v>46560</v>
      </c>
      <c r="AE183" s="20">
        <v>-1.05</v>
      </c>
      <c r="AF183" s="16">
        <v>129520000</v>
      </c>
      <c r="AG183" s="20">
        <v>-0.66</v>
      </c>
      <c r="AH183" s="16">
        <v>12714000</v>
      </c>
      <c r="AI183" s="20">
        <v>-0.74</v>
      </c>
      <c r="AJ183" s="7">
        <f t="shared" si="16"/>
        <v>1362794.27</v>
      </c>
      <c r="AK183" s="27">
        <f t="shared" si="16"/>
        <v>-9.6475400131544875E-3</v>
      </c>
    </row>
    <row r="184" spans="1:37" ht="22.5" x14ac:dyDescent="0.55000000000000004">
      <c r="A184" s="7" t="s">
        <v>577</v>
      </c>
      <c r="B184" s="25">
        <v>0.54097222222222219</v>
      </c>
      <c r="C184" s="7">
        <v>1363127.37</v>
      </c>
      <c r="D184" s="27">
        <f t="shared" si="13"/>
        <v>2.4442427395898747E-4</v>
      </c>
      <c r="E184" s="7">
        <v>359471.35999999999</v>
      </c>
      <c r="F184" s="27">
        <f t="shared" si="6"/>
        <v>-1.4185431099738022E-3</v>
      </c>
      <c r="G184" s="9">
        <v>54631721.266000003</v>
      </c>
      <c r="H184" s="9">
        <v>20416.734</v>
      </c>
      <c r="I184" s="24">
        <f t="shared" si="14"/>
        <v>20.416734000000002</v>
      </c>
      <c r="J184" s="24">
        <f t="shared" si="17"/>
        <v>28.818020777777779</v>
      </c>
      <c r="K184" s="11">
        <v>10135958.706</v>
      </c>
      <c r="L184" s="11">
        <v>3221836.27</v>
      </c>
      <c r="M184" s="11">
        <v>39538.771000000001</v>
      </c>
      <c r="N184" s="13">
        <v>22513</v>
      </c>
      <c r="O184" s="13">
        <f>163+143</f>
        <v>306</v>
      </c>
      <c r="P184" s="13">
        <f>114+228</f>
        <v>342</v>
      </c>
      <c r="Q184" s="13">
        <v>55</v>
      </c>
      <c r="R184" s="23">
        <v>0.98</v>
      </c>
      <c r="S184" s="13">
        <v>82</v>
      </c>
      <c r="T184" s="23">
        <v>3.54</v>
      </c>
      <c r="U184" s="15" t="s">
        <v>578</v>
      </c>
      <c r="V184" s="15" t="s">
        <v>579</v>
      </c>
      <c r="W184" s="24">
        <v>-3.0449999999999999</v>
      </c>
      <c r="X184" s="24"/>
      <c r="Y184" s="24"/>
      <c r="Z184" s="24"/>
      <c r="AA184" s="16">
        <v>269900</v>
      </c>
      <c r="AB184" s="17">
        <f t="shared" si="18"/>
        <v>251.90632175620598</v>
      </c>
      <c r="AC184" s="27">
        <f t="shared" si="15"/>
        <v>0</v>
      </c>
      <c r="AD184" s="19">
        <v>46615</v>
      </c>
      <c r="AE184" s="20">
        <v>7.0000000000000007E-2</v>
      </c>
      <c r="AF184" s="16">
        <v>128120000</v>
      </c>
      <c r="AG184" s="20">
        <v>-0.62</v>
      </c>
      <c r="AH184" s="16">
        <v>12594000</v>
      </c>
      <c r="AI184" s="20">
        <v>-0.59</v>
      </c>
      <c r="AJ184" s="7">
        <f t="shared" si="16"/>
        <v>1363127.37</v>
      </c>
      <c r="AK184" s="27">
        <f t="shared" si="16"/>
        <v>2.4442427395898747E-4</v>
      </c>
    </row>
    <row r="185" spans="1:37" ht="22.5" x14ac:dyDescent="0.55000000000000004">
      <c r="A185" s="7" t="s">
        <v>580</v>
      </c>
      <c r="B185" s="25">
        <v>0.54305555555555551</v>
      </c>
      <c r="C185" s="7">
        <v>1362344.68</v>
      </c>
      <c r="D185" s="27">
        <f t="shared" si="13"/>
        <v>-5.7418698885058905E-4</v>
      </c>
      <c r="E185" s="7">
        <v>359138</v>
      </c>
      <c r="F185" s="27">
        <f t="shared" si="6"/>
        <v>-9.2736177925267782E-4</v>
      </c>
      <c r="G185" s="9">
        <v>54602021.140000001</v>
      </c>
      <c r="H185" s="9">
        <v>26604.245999999999</v>
      </c>
      <c r="I185" s="24">
        <f t="shared" si="14"/>
        <v>26.604246</v>
      </c>
      <c r="J185" s="24">
        <f t="shared" si="17"/>
        <v>27.762814777777773</v>
      </c>
      <c r="K185" s="11">
        <v>10119514.877</v>
      </c>
      <c r="L185" s="11">
        <v>3209137.3309999998</v>
      </c>
      <c r="M185" s="11">
        <v>19687.242999999999</v>
      </c>
      <c r="N185" s="13">
        <v>27933</v>
      </c>
      <c r="O185" s="13">
        <f>117+121</f>
        <v>238</v>
      </c>
      <c r="P185" s="13">
        <f>121+263</f>
        <v>384</v>
      </c>
      <c r="Q185" s="13">
        <v>53</v>
      </c>
      <c r="R185" s="23">
        <v>0.97</v>
      </c>
      <c r="S185" s="13">
        <v>91</v>
      </c>
      <c r="T185" s="23">
        <v>3.4</v>
      </c>
      <c r="U185" s="15" t="s">
        <v>581</v>
      </c>
      <c r="V185" s="15" t="s">
        <v>582</v>
      </c>
      <c r="W185" s="24">
        <v>-2.84</v>
      </c>
      <c r="X185" s="24"/>
      <c r="Y185" s="24"/>
      <c r="Z185" s="24"/>
      <c r="AA185" s="16">
        <v>268890</v>
      </c>
      <c r="AB185" s="17">
        <f t="shared" si="18"/>
        <v>252.63369165086095</v>
      </c>
      <c r="AC185" s="27">
        <f t="shared" si="15"/>
        <v>-3.7421267135976377E-3</v>
      </c>
      <c r="AD185" s="19">
        <v>42031</v>
      </c>
      <c r="AE185" s="20">
        <v>-0.88</v>
      </c>
      <c r="AF185" s="16">
        <v>127510000</v>
      </c>
      <c r="AG185" s="20">
        <v>-1.1100000000000001</v>
      </c>
      <c r="AH185" s="16">
        <v>12458000</v>
      </c>
      <c r="AI185" s="20">
        <v>-1.58</v>
      </c>
      <c r="AJ185" s="7">
        <f t="shared" si="16"/>
        <v>1362344.68</v>
      </c>
      <c r="AK185" s="27">
        <f t="shared" si="16"/>
        <v>-5.7418698885058905E-4</v>
      </c>
    </row>
    <row r="186" spans="1:37" ht="22.5" x14ac:dyDescent="0.55000000000000004">
      <c r="A186" s="7" t="s">
        <v>583</v>
      </c>
      <c r="B186" s="25">
        <v>0.55902777777777779</v>
      </c>
      <c r="C186" s="7">
        <v>1336778.76</v>
      </c>
      <c r="D186" s="27">
        <f t="shared" si="13"/>
        <v>-1.8766117250151315E-2</v>
      </c>
      <c r="E186" s="7">
        <v>353194.4</v>
      </c>
      <c r="F186" s="27">
        <f t="shared" si="6"/>
        <v>-1.6549627162817604E-2</v>
      </c>
      <c r="G186" s="9">
        <v>53577992.303999998</v>
      </c>
      <c r="H186" s="9">
        <v>27294.210999999999</v>
      </c>
      <c r="I186" s="24">
        <f t="shared" si="14"/>
        <v>27.294211000000001</v>
      </c>
      <c r="J186" s="24">
        <f t="shared" si="17"/>
        <v>26.483303333333328</v>
      </c>
      <c r="K186" s="11">
        <v>9978631.8010000009</v>
      </c>
      <c r="L186" s="11">
        <v>3187183.8190000001</v>
      </c>
      <c r="M186" s="11">
        <v>21226.495999999999</v>
      </c>
      <c r="N186" s="13">
        <v>29588</v>
      </c>
      <c r="O186" s="13">
        <f>62+83</f>
        <v>145</v>
      </c>
      <c r="P186" s="13">
        <f>164+320</f>
        <v>484</v>
      </c>
      <c r="Q186" s="13">
        <v>37</v>
      </c>
      <c r="R186" s="23">
        <v>0.78</v>
      </c>
      <c r="S186" s="13">
        <v>171</v>
      </c>
      <c r="T186" s="23">
        <v>3.98</v>
      </c>
      <c r="U186" s="15" t="s">
        <v>584</v>
      </c>
      <c r="V186" s="15" t="s">
        <v>585</v>
      </c>
      <c r="W186" s="24">
        <v>-5.51</v>
      </c>
      <c r="X186" s="24"/>
      <c r="Y186" s="24"/>
      <c r="Z186" s="24"/>
      <c r="AA186" s="16">
        <v>268385</v>
      </c>
      <c r="AB186" s="17">
        <f t="shared" si="18"/>
        <v>248.68680412094562</v>
      </c>
      <c r="AC186" s="27">
        <f t="shared" si="15"/>
        <v>-1.8780914128454507E-3</v>
      </c>
      <c r="AD186" s="19">
        <v>41646</v>
      </c>
      <c r="AE186" s="20">
        <v>-1.08</v>
      </c>
      <c r="AF186" s="16">
        <v>123780000</v>
      </c>
      <c r="AG186" s="20">
        <v>-1.62</v>
      </c>
      <c r="AH186" s="16">
        <v>11910000</v>
      </c>
      <c r="AI186" s="20">
        <v>-1.75</v>
      </c>
      <c r="AJ186" s="7">
        <f t="shared" si="16"/>
        <v>1336778.76</v>
      </c>
      <c r="AK186" s="27">
        <f t="shared" si="16"/>
        <v>-1.8766117250151315E-2</v>
      </c>
    </row>
    <row r="187" spans="1:37" ht="22.5" x14ac:dyDescent="0.55000000000000004">
      <c r="A187" s="7" t="s">
        <v>586</v>
      </c>
      <c r="B187" s="25">
        <v>0.54861111111111105</v>
      </c>
      <c r="C187" s="7">
        <v>1332755.6000000001</v>
      </c>
      <c r="D187" s="27">
        <f t="shared" si="13"/>
        <v>-3.0095930010137772E-3</v>
      </c>
      <c r="E187" s="7">
        <v>352103.85</v>
      </c>
      <c r="F187" s="27">
        <f t="shared" si="6"/>
        <v>-3.0876763617997405E-3</v>
      </c>
      <c r="G187" s="9">
        <v>53413761.674000002</v>
      </c>
      <c r="H187" s="9">
        <v>27252.502</v>
      </c>
      <c r="I187" s="24">
        <f t="shared" ref="I187:I325" si="19">H187/1000</f>
        <v>27.252502</v>
      </c>
      <c r="J187" s="24">
        <f t="shared" si="17"/>
        <v>25.970395333333329</v>
      </c>
      <c r="K187" s="11">
        <v>9923392.1449999996</v>
      </c>
      <c r="L187" s="11">
        <v>3172897.1719999998</v>
      </c>
      <c r="M187" s="11">
        <v>1424416.6070000001</v>
      </c>
      <c r="N187" s="13">
        <v>28269</v>
      </c>
      <c r="O187" s="13">
        <f>180+142</f>
        <v>322</v>
      </c>
      <c r="P187" s="13">
        <f>210+156</f>
        <v>366</v>
      </c>
      <c r="Q187" s="13">
        <v>54</v>
      </c>
      <c r="R187" s="23">
        <v>1.3</v>
      </c>
      <c r="S187" s="13">
        <v>83</v>
      </c>
      <c r="T187" s="23">
        <v>3</v>
      </c>
      <c r="U187" s="15" t="s">
        <v>587</v>
      </c>
      <c r="V187" s="15" t="s">
        <v>588</v>
      </c>
      <c r="W187" s="24">
        <v>-2.83</v>
      </c>
      <c r="X187" s="24"/>
      <c r="Y187" s="24"/>
      <c r="Z187" s="24"/>
      <c r="AA187" s="16">
        <v>267375</v>
      </c>
      <c r="AB187" s="17">
        <f t="shared" si="18"/>
        <v>248.75194386535765</v>
      </c>
      <c r="AC187" s="27">
        <f t="shared" si="15"/>
        <v>-3.7632505542410932E-3</v>
      </c>
      <c r="AD187" s="19">
        <v>41916</v>
      </c>
      <c r="AE187" s="20">
        <v>0.75</v>
      </c>
      <c r="AF187" s="16">
        <v>119710000</v>
      </c>
      <c r="AG187" s="20">
        <v>-1.26</v>
      </c>
      <c r="AH187" s="16">
        <v>11818000</v>
      </c>
      <c r="AI187" s="20">
        <v>0.73</v>
      </c>
      <c r="AJ187" s="7">
        <f t="shared" si="16"/>
        <v>1332755.6000000001</v>
      </c>
      <c r="AK187" s="27">
        <f t="shared" si="16"/>
        <v>-3.0095930010137772E-3</v>
      </c>
    </row>
    <row r="188" spans="1:37" ht="22.5" x14ac:dyDescent="0.55000000000000004">
      <c r="A188" s="7" t="s">
        <v>589</v>
      </c>
      <c r="B188" s="25">
        <v>0.56736111111111109</v>
      </c>
      <c r="C188" s="7">
        <v>1334682.1299999999</v>
      </c>
      <c r="D188" s="27">
        <f t="shared" si="13"/>
        <v>1.4455238454820218E-3</v>
      </c>
      <c r="E188" s="7">
        <v>353396.86</v>
      </c>
      <c r="F188" s="27">
        <f t="shared" si="6"/>
        <v>3.6722404483791049E-3</v>
      </c>
      <c r="G188" s="9">
        <v>53491908.163000003</v>
      </c>
      <c r="H188" s="9">
        <v>23687.994999999999</v>
      </c>
      <c r="I188" s="24">
        <f t="shared" si="19"/>
        <v>23.687994999999997</v>
      </c>
      <c r="J188" s="24">
        <f t="shared" si="17"/>
        <v>24.605097666666666</v>
      </c>
      <c r="K188" s="11">
        <v>9949587.2809999995</v>
      </c>
      <c r="L188" s="11">
        <v>3172521.1850000001</v>
      </c>
      <c r="M188" s="11">
        <v>32548.924999999999</v>
      </c>
      <c r="N188" s="13">
        <v>24727</v>
      </c>
      <c r="O188" s="13">
        <f>184+137</f>
        <v>321</v>
      </c>
      <c r="P188" s="13">
        <f>203+100</f>
        <v>303</v>
      </c>
      <c r="Q188" s="13">
        <v>61</v>
      </c>
      <c r="R188" s="23">
        <v>1.18</v>
      </c>
      <c r="S188" s="13">
        <v>61</v>
      </c>
      <c r="T188" s="23">
        <v>2.4</v>
      </c>
      <c r="U188" s="15" t="s">
        <v>590</v>
      </c>
      <c r="V188" s="15" t="s">
        <v>591</v>
      </c>
      <c r="W188" s="24">
        <v>-1.63</v>
      </c>
      <c r="X188" s="24"/>
      <c r="Y188" s="24"/>
      <c r="Z188" s="24"/>
      <c r="AA188" s="16">
        <v>267173</v>
      </c>
      <c r="AB188" s="17">
        <f t="shared" si="18"/>
        <v>249.32914863777404</v>
      </c>
      <c r="AC188" s="27">
        <f t="shared" si="15"/>
        <v>-7.5549322113133144E-4</v>
      </c>
      <c r="AD188" s="19">
        <v>42037</v>
      </c>
      <c r="AE188" s="20">
        <v>0.46</v>
      </c>
      <c r="AF188" s="16">
        <v>121530000</v>
      </c>
      <c r="AG188" s="20">
        <v>-7.0000000000000007E-2</v>
      </c>
      <c r="AH188" s="16">
        <v>12146000</v>
      </c>
      <c r="AI188" s="20">
        <v>1.35</v>
      </c>
      <c r="AJ188" s="7">
        <f t="shared" si="16"/>
        <v>1334682.1299999999</v>
      </c>
      <c r="AK188" s="27">
        <f t="shared" si="16"/>
        <v>1.4455238454820218E-3</v>
      </c>
    </row>
    <row r="189" spans="1:37" ht="22.5" x14ac:dyDescent="0.55000000000000004">
      <c r="A189" s="7" t="s">
        <v>592</v>
      </c>
      <c r="B189" s="25">
        <v>0.53611111111111109</v>
      </c>
      <c r="C189" s="7">
        <v>1334283.1599999999</v>
      </c>
      <c r="D189" s="27">
        <f t="shared" si="13"/>
        <v>-2.9892510810791695E-4</v>
      </c>
      <c r="E189" s="7">
        <v>353770.11</v>
      </c>
      <c r="F189" s="27">
        <f t="shared" si="6"/>
        <v>1.0561780316893365E-3</v>
      </c>
      <c r="G189" s="9">
        <v>53475001.038999997</v>
      </c>
      <c r="H189" s="9">
        <v>21634.253000000001</v>
      </c>
      <c r="I189" s="24">
        <f t="shared" si="19"/>
        <v>21.634253000000001</v>
      </c>
      <c r="J189" s="24">
        <f t="shared" si="17"/>
        <v>23.372186888888891</v>
      </c>
      <c r="K189" s="11">
        <v>9968679.3249999993</v>
      </c>
      <c r="L189" s="11">
        <v>3166098.5159999998</v>
      </c>
      <c r="M189" s="11">
        <v>16364.308999999999</v>
      </c>
      <c r="N189" s="13">
        <v>26329</v>
      </c>
      <c r="O189" s="13">
        <f>148+146</f>
        <v>294</v>
      </c>
      <c r="P189" s="13">
        <f>238+92</f>
        <v>330</v>
      </c>
      <c r="Q189" s="13">
        <v>77</v>
      </c>
      <c r="R189" s="23">
        <v>1.1499999999999999</v>
      </c>
      <c r="S189" s="13">
        <v>72</v>
      </c>
      <c r="T189" s="23">
        <v>2.6</v>
      </c>
      <c r="U189" s="15" t="s">
        <v>593</v>
      </c>
      <c r="V189" s="15" t="s">
        <v>594</v>
      </c>
      <c r="W189" s="24">
        <v>-1.29</v>
      </c>
      <c r="X189" s="24"/>
      <c r="Y189" s="24"/>
      <c r="Z189" s="24"/>
      <c r="AA189" s="16">
        <v>266668</v>
      </c>
      <c r="AB189" s="17">
        <f t="shared" si="18"/>
        <v>249.78542187289062</v>
      </c>
      <c r="AC189" s="27">
        <f t="shared" si="15"/>
        <v>-1.8901610566935956E-3</v>
      </c>
      <c r="AD189" s="19">
        <v>42783</v>
      </c>
      <c r="AE189" s="20">
        <v>1.96</v>
      </c>
      <c r="AF189" s="16">
        <v>122260000</v>
      </c>
      <c r="AG189" s="20">
        <v>-0.43</v>
      </c>
      <c r="AH189" s="16">
        <v>12296000</v>
      </c>
      <c r="AI189" s="20">
        <v>0.34</v>
      </c>
      <c r="AJ189" s="7">
        <f t="shared" si="16"/>
        <v>1334283.1599999999</v>
      </c>
      <c r="AK189" s="27">
        <f t="shared" si="16"/>
        <v>-2.9892510810791695E-4</v>
      </c>
    </row>
    <row r="190" spans="1:37" ht="22.5" x14ac:dyDescent="0.55000000000000004">
      <c r="A190" s="7" t="s">
        <v>595</v>
      </c>
      <c r="B190" s="25">
        <v>0.5444444444444444</v>
      </c>
      <c r="C190" s="7">
        <v>1322569.8</v>
      </c>
      <c r="D190" s="27">
        <f t="shared" si="13"/>
        <v>-8.7787662702719649E-3</v>
      </c>
      <c r="E190" s="7">
        <v>350193.58</v>
      </c>
      <c r="F190" s="27">
        <f t="shared" si="6"/>
        <v>-1.0109757435414646E-2</v>
      </c>
      <c r="G190" s="9">
        <v>53006177.064000003</v>
      </c>
      <c r="H190" s="9">
        <v>26796.812000000002</v>
      </c>
      <c r="I190" s="24">
        <f t="shared" si="19"/>
        <v>26.796812000000003</v>
      </c>
      <c r="J190" s="24">
        <f t="shared" si="17"/>
        <v>23.964234888888889</v>
      </c>
      <c r="K190" s="11">
        <v>9907934.2359999996</v>
      </c>
      <c r="L190" s="11">
        <v>3152909.6159999999</v>
      </c>
      <c r="M190" s="11">
        <v>27856.359</v>
      </c>
      <c r="N190" s="13">
        <v>22821</v>
      </c>
      <c r="O190" s="13">
        <f>66+90</f>
        <v>156</v>
      </c>
      <c r="P190" s="13">
        <f>312+171</f>
        <v>483</v>
      </c>
      <c r="Q190" s="13">
        <v>41</v>
      </c>
      <c r="R190" s="23">
        <v>0.96</v>
      </c>
      <c r="S190" s="13">
        <v>132</v>
      </c>
      <c r="T190" s="23">
        <v>3.3</v>
      </c>
      <c r="U190" s="15" t="s">
        <v>596</v>
      </c>
      <c r="V190" s="15" t="s">
        <v>597</v>
      </c>
      <c r="W190" s="24">
        <v>-3.81</v>
      </c>
      <c r="X190" s="24"/>
      <c r="Y190" s="24"/>
      <c r="Z190" s="24"/>
      <c r="AA190" s="16">
        <v>263638</v>
      </c>
      <c r="AB190" s="17">
        <f t="shared" si="18"/>
        <v>250.59748942110014</v>
      </c>
      <c r="AC190" s="27">
        <f t="shared" si="15"/>
        <v>-1.136244318778401E-2</v>
      </c>
      <c r="AD190" s="19">
        <v>43006</v>
      </c>
      <c r="AE190" s="20">
        <v>0.92</v>
      </c>
      <c r="AF190" s="16">
        <v>121760000</v>
      </c>
      <c r="AG190" s="20">
        <v>-1.86</v>
      </c>
      <c r="AH190" s="16">
        <v>11966000</v>
      </c>
      <c r="AI190" s="20">
        <v>-2.57</v>
      </c>
      <c r="AJ190" s="7">
        <f t="shared" si="16"/>
        <v>1322569.8</v>
      </c>
      <c r="AK190" s="27">
        <f t="shared" si="16"/>
        <v>-8.7787662702719649E-3</v>
      </c>
    </row>
    <row r="191" spans="1:37" ht="22.5" x14ac:dyDescent="0.55000000000000004">
      <c r="A191" s="7" t="s">
        <v>598</v>
      </c>
      <c r="B191" s="25">
        <v>0.54861111111111105</v>
      </c>
      <c r="C191" s="7">
        <v>1310885.26</v>
      </c>
      <c r="D191" s="27">
        <f t="shared" si="13"/>
        <v>-8.8347246398640111E-3</v>
      </c>
      <c r="E191" s="7">
        <v>346483.41</v>
      </c>
      <c r="F191" s="27">
        <f t="shared" si="6"/>
        <v>-1.0594625978009198E-2</v>
      </c>
      <c r="G191" s="9">
        <v>52535354.968000002</v>
      </c>
      <c r="H191" s="9">
        <v>21508.215</v>
      </c>
      <c r="I191" s="24">
        <f t="shared" si="19"/>
        <v>21.508215</v>
      </c>
      <c r="J191" s="24">
        <f t="shared" si="17"/>
        <v>24.294860000000003</v>
      </c>
      <c r="K191" s="11">
        <v>9843260.6809999999</v>
      </c>
      <c r="L191" s="11">
        <v>3135189.8689999999</v>
      </c>
      <c r="M191" s="11">
        <v>18439.721000000001</v>
      </c>
      <c r="N191" s="13">
        <v>23037</v>
      </c>
      <c r="O191" s="13">
        <f>100+89</f>
        <v>189</v>
      </c>
      <c r="P191" s="13">
        <f>287+148</f>
        <v>435</v>
      </c>
      <c r="Q191" s="13">
        <v>41</v>
      </c>
      <c r="R191" s="23">
        <v>0.85</v>
      </c>
      <c r="S191" s="13">
        <v>101</v>
      </c>
      <c r="T191" s="23">
        <v>2.75</v>
      </c>
      <c r="U191" s="15" t="s">
        <v>599</v>
      </c>
      <c r="V191" s="15" t="s">
        <v>600</v>
      </c>
      <c r="W191" s="24">
        <v>-3.98</v>
      </c>
      <c r="X191" s="24"/>
      <c r="Y191" s="24"/>
      <c r="Z191" s="24"/>
      <c r="AA191" s="16">
        <v>261618</v>
      </c>
      <c r="AB191" s="17">
        <f t="shared" si="18"/>
        <v>250.41780580082414</v>
      </c>
      <c r="AC191" s="27">
        <f t="shared" si="15"/>
        <v>-7.6620214081429827E-3</v>
      </c>
      <c r="AD191" s="19">
        <v>43107</v>
      </c>
      <c r="AE191" s="20">
        <v>0.33</v>
      </c>
      <c r="AF191" s="16">
        <v>121740000</v>
      </c>
      <c r="AG191" s="20">
        <v>0.37</v>
      </c>
      <c r="AH191" s="16">
        <v>12005000</v>
      </c>
      <c r="AI191" s="20">
        <v>0.12</v>
      </c>
      <c r="AJ191" s="7">
        <f t="shared" si="16"/>
        <v>1310885.26</v>
      </c>
      <c r="AK191" s="27">
        <f t="shared" si="16"/>
        <v>-8.8347246398640111E-3</v>
      </c>
    </row>
    <row r="192" spans="1:37" ht="22.5" x14ac:dyDescent="0.55000000000000004">
      <c r="A192" s="7" t="s">
        <v>601</v>
      </c>
      <c r="B192" s="25">
        <v>0.53472222222222221</v>
      </c>
      <c r="C192" s="7">
        <v>1306532.3899999999</v>
      </c>
      <c r="D192" s="27">
        <f t="shared" si="13"/>
        <v>-3.3205575902196527E-3</v>
      </c>
      <c r="E192" s="7">
        <v>345084.68</v>
      </c>
      <c r="F192" s="27">
        <f t="shared" si="6"/>
        <v>-4.0369321001544334E-3</v>
      </c>
      <c r="G192" s="9">
        <v>52361271.487000003</v>
      </c>
      <c r="H192" s="9">
        <v>32398.816999999999</v>
      </c>
      <c r="I192" s="24">
        <f t="shared" si="19"/>
        <v>32.398817000000001</v>
      </c>
      <c r="J192" s="24">
        <f t="shared" si="17"/>
        <v>25.288198333333337</v>
      </c>
      <c r="K192" s="11">
        <v>9845858.0059999991</v>
      </c>
      <c r="L192" s="11">
        <v>3172530.5430000001</v>
      </c>
      <c r="M192" s="11">
        <v>1388705.139</v>
      </c>
      <c r="N192" s="13">
        <v>23925</v>
      </c>
      <c r="O192" s="13">
        <f>79+99</f>
        <v>178</v>
      </c>
      <c r="P192" s="13">
        <f>309+187</f>
        <v>496</v>
      </c>
      <c r="Q192" s="13">
        <v>39</v>
      </c>
      <c r="R192" s="23">
        <v>0.93</v>
      </c>
      <c r="S192" s="13">
        <v>117</v>
      </c>
      <c r="T192" s="23">
        <v>3.44</v>
      </c>
      <c r="U192" s="15" t="s">
        <v>602</v>
      </c>
      <c r="V192" s="15" t="s">
        <v>603</v>
      </c>
      <c r="W192" s="24">
        <v>-2.77</v>
      </c>
      <c r="X192" s="24"/>
      <c r="Y192" s="24"/>
      <c r="Z192" s="24"/>
      <c r="AA192" s="16">
        <v>259800</v>
      </c>
      <c r="AB192" s="17">
        <f t="shared" si="18"/>
        <v>251.65381076212469</v>
      </c>
      <c r="AC192" s="27">
        <f t="shared" si="15"/>
        <v>-6.9490631378574808E-3</v>
      </c>
      <c r="AD192" s="19">
        <v>42864</v>
      </c>
      <c r="AE192" s="20">
        <v>-0.6</v>
      </c>
      <c r="AF192" s="16">
        <v>121130000</v>
      </c>
      <c r="AG192" s="20">
        <v>-0.32</v>
      </c>
      <c r="AH192" s="16">
        <v>11850000</v>
      </c>
      <c r="AI192" s="20">
        <v>-1.07</v>
      </c>
      <c r="AJ192" s="7">
        <f t="shared" si="16"/>
        <v>1306532.3899999999</v>
      </c>
      <c r="AK192" s="27">
        <f t="shared" si="16"/>
        <v>-3.3205575902196527E-3</v>
      </c>
    </row>
    <row r="193" spans="1:37" ht="22.5" x14ac:dyDescent="0.55000000000000004">
      <c r="A193" s="7" t="s">
        <v>604</v>
      </c>
      <c r="B193" s="25">
        <v>0.53125</v>
      </c>
      <c r="C193" s="7">
        <v>1275931.6299999999</v>
      </c>
      <c r="D193" s="27">
        <f t="shared" si="13"/>
        <v>-2.3421355822644374E-2</v>
      </c>
      <c r="E193" s="7">
        <v>337031.92</v>
      </c>
      <c r="F193" s="27">
        <f t="shared" si="6"/>
        <v>-2.3335605625842359E-2</v>
      </c>
      <c r="G193" s="9">
        <v>51138121.751999997</v>
      </c>
      <c r="H193" s="9">
        <v>25930.673999999999</v>
      </c>
      <c r="I193" s="24">
        <f t="shared" si="19"/>
        <v>25.930674</v>
      </c>
      <c r="J193" s="24">
        <f t="shared" si="17"/>
        <v>25.900858333333336</v>
      </c>
      <c r="K193" s="11">
        <v>9719820.4759999998</v>
      </c>
      <c r="L193" s="11">
        <v>3152027.747</v>
      </c>
      <c r="M193" s="11">
        <v>13643.227999999999</v>
      </c>
      <c r="N193" s="13">
        <v>27496</v>
      </c>
      <c r="O193" s="13">
        <f>75+31</f>
        <v>106</v>
      </c>
      <c r="P193" s="13">
        <f>350+163</f>
        <v>513</v>
      </c>
      <c r="Q193" s="13">
        <v>35</v>
      </c>
      <c r="R193" s="23">
        <v>0.96699999999999997</v>
      </c>
      <c r="S193" s="13">
        <v>232</v>
      </c>
      <c r="T193" s="23">
        <v>4.99</v>
      </c>
      <c r="U193" s="15" t="s">
        <v>605</v>
      </c>
      <c r="V193" s="15" t="s">
        <v>606</v>
      </c>
      <c r="W193" s="24">
        <v>-7.08</v>
      </c>
      <c r="X193" s="24"/>
      <c r="Y193" s="24"/>
      <c r="Z193" s="24"/>
      <c r="AA193" s="16">
        <v>255401</v>
      </c>
      <c r="AB193" s="17">
        <f t="shared" si="18"/>
        <v>250.62536941907038</v>
      </c>
      <c r="AC193" s="27">
        <f t="shared" si="15"/>
        <v>-1.693225558121636E-2</v>
      </c>
      <c r="AD193" s="19">
        <v>41782</v>
      </c>
      <c r="AE193" s="20">
        <v>-2.46</v>
      </c>
      <c r="AF193" s="16">
        <v>120530000</v>
      </c>
      <c r="AG193" s="20">
        <v>-0.65</v>
      </c>
      <c r="AH193" s="16">
        <v>11878000</v>
      </c>
      <c r="AI193" s="20">
        <v>0.19</v>
      </c>
      <c r="AJ193" s="7">
        <f t="shared" si="16"/>
        <v>1275931.6299999999</v>
      </c>
      <c r="AK193" s="27">
        <f t="shared" si="16"/>
        <v>-2.3421355822644374E-2</v>
      </c>
    </row>
    <row r="194" spans="1:37" ht="22.5" x14ac:dyDescent="0.55000000000000004">
      <c r="A194" s="7" t="s">
        <v>607</v>
      </c>
      <c r="B194" s="25">
        <v>0.58194444444444449</v>
      </c>
      <c r="C194" s="7">
        <v>1279393.8999999999</v>
      </c>
      <c r="D194" s="27">
        <f t="shared" si="13"/>
        <v>2.7135231375994273E-3</v>
      </c>
      <c r="E194" s="7">
        <v>335643.72</v>
      </c>
      <c r="F194" s="27">
        <f t="shared" si="6"/>
        <v>-4.1188976996600069E-3</v>
      </c>
      <c r="G194" s="9">
        <v>51269748.846000001</v>
      </c>
      <c r="H194" s="9">
        <v>29036.028999999999</v>
      </c>
      <c r="I194" s="24">
        <f t="shared" si="19"/>
        <v>29.036028999999999</v>
      </c>
      <c r="J194" s="24">
        <f t="shared" si="17"/>
        <v>26.171056444444446</v>
      </c>
      <c r="K194" s="11">
        <v>9712051.307</v>
      </c>
      <c r="L194" s="11">
        <v>3146180.665</v>
      </c>
      <c r="M194" s="11">
        <v>30002.175999999999</v>
      </c>
      <c r="N194" s="13">
        <v>24860</v>
      </c>
      <c r="O194" s="13">
        <f>142+186</f>
        <v>328</v>
      </c>
      <c r="P194" s="13">
        <f>190+119</f>
        <v>309</v>
      </c>
      <c r="Q194" s="13">
        <v>55</v>
      </c>
      <c r="R194" s="23">
        <v>1.3</v>
      </c>
      <c r="S194" s="13">
        <v>104</v>
      </c>
      <c r="T194" s="23">
        <v>2.9</v>
      </c>
      <c r="U194" s="15" t="s">
        <v>608</v>
      </c>
      <c r="V194" s="15" t="s">
        <v>609</v>
      </c>
      <c r="W194" s="24">
        <v>-2.42</v>
      </c>
      <c r="X194" s="24"/>
      <c r="Y194" s="24"/>
      <c r="Z194" s="24"/>
      <c r="AA194" s="16">
        <v>254966</v>
      </c>
      <c r="AB194" s="17">
        <f t="shared" si="18"/>
        <v>251.51581315940166</v>
      </c>
      <c r="AC194" s="27">
        <f t="shared" si="15"/>
        <v>-1.7032039811903932E-3</v>
      </c>
      <c r="AD194" s="19">
        <v>41534</v>
      </c>
      <c r="AE194" s="20">
        <v>-0.97</v>
      </c>
      <c r="AF194" s="16">
        <v>121780000</v>
      </c>
      <c r="AG194" s="20">
        <v>0.94</v>
      </c>
      <c r="AH194" s="16">
        <v>12049000</v>
      </c>
      <c r="AI194" s="20">
        <v>1.1100000000000001</v>
      </c>
      <c r="AJ194" s="7">
        <f t="shared" si="16"/>
        <v>1279393.8999999999</v>
      </c>
      <c r="AK194" s="27">
        <f t="shared" si="16"/>
        <v>2.7135231375994273E-3</v>
      </c>
    </row>
    <row r="195" spans="1:37" ht="22.5" x14ac:dyDescent="0.55000000000000004">
      <c r="A195" s="7" t="s">
        <v>610</v>
      </c>
      <c r="B195" s="25">
        <v>0.53472222222222221</v>
      </c>
      <c r="C195" s="7">
        <v>1281805.06</v>
      </c>
      <c r="D195" s="27">
        <f t="shared" si="13"/>
        <v>1.8846111428232337E-3</v>
      </c>
      <c r="E195" s="7">
        <v>334195.34999999998</v>
      </c>
      <c r="F195" s="27">
        <f t="shared" si="6"/>
        <v>-4.3152006538361709E-3</v>
      </c>
      <c r="G195" s="9">
        <v>51363045.575999998</v>
      </c>
      <c r="H195" s="9">
        <v>35089.283000000003</v>
      </c>
      <c r="I195" s="24">
        <f t="shared" si="19"/>
        <v>35.089283000000002</v>
      </c>
      <c r="J195" s="24">
        <f t="shared" si="17"/>
        <v>27.037175555555553</v>
      </c>
      <c r="K195" s="11">
        <v>9665147.8589999992</v>
      </c>
      <c r="L195" s="11">
        <v>3144360.6979999999</v>
      </c>
      <c r="M195" s="11">
        <v>14220.977000000001</v>
      </c>
      <c r="N195" s="13">
        <v>27811</v>
      </c>
      <c r="O195" s="13">
        <f>92+89</f>
        <v>181</v>
      </c>
      <c r="P195" s="13">
        <f>278+151</f>
        <v>429</v>
      </c>
      <c r="Q195" s="13">
        <v>36</v>
      </c>
      <c r="R195" s="23">
        <v>1.9</v>
      </c>
      <c r="S195" s="13">
        <v>174</v>
      </c>
      <c r="T195" s="23">
        <v>3.9</v>
      </c>
      <c r="U195" s="15" t="s">
        <v>611</v>
      </c>
      <c r="V195" s="15" t="s">
        <v>612</v>
      </c>
      <c r="W195" s="24">
        <v>-2.75</v>
      </c>
      <c r="X195" s="24"/>
      <c r="Y195" s="24"/>
      <c r="Z195" s="24"/>
      <c r="AA195" s="16">
        <v>258077</v>
      </c>
      <c r="AB195" s="17">
        <f t="shared" si="18"/>
        <v>248.656618501455</v>
      </c>
      <c r="AC195" s="27">
        <f t="shared" si="15"/>
        <v>1.2201626883584504E-2</v>
      </c>
      <c r="AD195" s="19">
        <v>35597</v>
      </c>
      <c r="AE195" s="20">
        <v>-8.77</v>
      </c>
      <c r="AF195" s="16">
        <v>122130000</v>
      </c>
      <c r="AG195" s="20">
        <v>-0.71</v>
      </c>
      <c r="AH195" s="16">
        <v>12097000</v>
      </c>
      <c r="AI195" s="20">
        <v>-0.69</v>
      </c>
      <c r="AJ195" s="7">
        <f t="shared" si="16"/>
        <v>1281805.06</v>
      </c>
      <c r="AK195" s="27">
        <f t="shared" si="16"/>
        <v>1.8846111428232337E-3</v>
      </c>
    </row>
    <row r="196" spans="1:37" ht="22.5" x14ac:dyDescent="0.55000000000000004">
      <c r="A196" s="7" t="s">
        <v>613</v>
      </c>
      <c r="B196" s="25">
        <v>0.54236111111111118</v>
      </c>
      <c r="C196" s="7">
        <v>1256546.8999999999</v>
      </c>
      <c r="D196" s="27">
        <f t="shared" si="13"/>
        <v>-1.9705149236967534E-2</v>
      </c>
      <c r="E196" s="7">
        <v>328244.82</v>
      </c>
      <c r="F196" s="27">
        <f t="shared" si="6"/>
        <v>-1.7805543973008486E-2</v>
      </c>
      <c r="G196" s="9">
        <v>48836338.884000003</v>
      </c>
      <c r="H196" s="9">
        <v>32018.019</v>
      </c>
      <c r="I196" s="24">
        <f t="shared" si="19"/>
        <v>32.018019000000002</v>
      </c>
      <c r="J196" s="24">
        <f t="shared" si="17"/>
        <v>27.566677444444444</v>
      </c>
      <c r="K196" s="11">
        <v>9615546.2229999993</v>
      </c>
      <c r="L196" s="11">
        <v>3130163.4550000001</v>
      </c>
      <c r="M196" s="11">
        <v>47018.999000000003</v>
      </c>
      <c r="N196" s="13">
        <v>31436</v>
      </c>
      <c r="O196" s="13">
        <f>46+56</f>
        <v>102</v>
      </c>
      <c r="P196" s="13">
        <f>337+190</f>
        <v>527</v>
      </c>
      <c r="Q196" s="13">
        <v>28</v>
      </c>
      <c r="R196" s="23">
        <v>1.1200000000000001</v>
      </c>
      <c r="S196" s="13">
        <v>269</v>
      </c>
      <c r="T196" s="23">
        <v>5.95</v>
      </c>
      <c r="U196" s="15" t="s">
        <v>614</v>
      </c>
      <c r="V196" s="15" t="s">
        <v>615</v>
      </c>
      <c r="W196" s="24">
        <v>-7.91</v>
      </c>
      <c r="X196" s="24"/>
      <c r="Y196" s="24"/>
      <c r="Z196" s="24"/>
      <c r="AA196" s="16">
        <v>257230</v>
      </c>
      <c r="AB196" s="17">
        <f t="shared" si="18"/>
        <v>239.40461284453605</v>
      </c>
      <c r="AC196" s="27">
        <f t="shared" si="15"/>
        <v>-3.2819662348834155E-3</v>
      </c>
      <c r="AD196" s="19">
        <v>35925</v>
      </c>
      <c r="AE196" s="20">
        <v>1.2</v>
      </c>
      <c r="AF196" s="16">
        <v>123410000</v>
      </c>
      <c r="AG196" s="20">
        <v>0.64</v>
      </c>
      <c r="AH196" s="16">
        <v>12224000</v>
      </c>
      <c r="AI196" s="20">
        <v>0.7</v>
      </c>
      <c r="AJ196" s="7">
        <f t="shared" si="16"/>
        <v>1256546.8999999999</v>
      </c>
      <c r="AK196" s="27">
        <f t="shared" si="16"/>
        <v>-1.9705149236967534E-2</v>
      </c>
    </row>
    <row r="197" spans="1:37" ht="22.5" x14ac:dyDescent="0.55000000000000004">
      <c r="A197" s="7" t="s">
        <v>616</v>
      </c>
      <c r="B197" s="25">
        <v>0.55208333333333337</v>
      </c>
      <c r="C197" s="7">
        <v>1234688.1000000001</v>
      </c>
      <c r="D197" s="27">
        <f t="shared" si="13"/>
        <v>-1.7395928476684697E-2</v>
      </c>
      <c r="E197" s="7">
        <v>323973.09000000003</v>
      </c>
      <c r="F197" s="27">
        <f t="shared" si="6"/>
        <v>-1.3013853501176342E-2</v>
      </c>
      <c r="G197" s="9">
        <v>49358322.126000002</v>
      </c>
      <c r="H197" s="9">
        <v>26744.546999999999</v>
      </c>
      <c r="I197" s="24">
        <f t="shared" si="19"/>
        <v>26.744546999999997</v>
      </c>
      <c r="J197" s="24">
        <f t="shared" si="17"/>
        <v>27.906294333333335</v>
      </c>
      <c r="K197" s="11">
        <v>9554249.4299999997</v>
      </c>
      <c r="L197" s="11">
        <v>3116672.17</v>
      </c>
      <c r="M197" s="11">
        <v>1556842.527</v>
      </c>
      <c r="N197" s="13">
        <v>23897</v>
      </c>
      <c r="O197" s="13">
        <f>61+74</f>
        <v>135</v>
      </c>
      <c r="P197" s="13">
        <f>221+317</f>
        <v>538</v>
      </c>
      <c r="Q197" s="13">
        <v>23</v>
      </c>
      <c r="R197" s="23">
        <v>0.89</v>
      </c>
      <c r="S197" s="13">
        <v>239</v>
      </c>
      <c r="T197" s="23">
        <v>6.19</v>
      </c>
      <c r="U197" s="15" t="s">
        <v>617</v>
      </c>
      <c r="V197" s="15" t="s">
        <v>618</v>
      </c>
      <c r="W197" s="24">
        <v>-4.25</v>
      </c>
      <c r="X197" s="24"/>
      <c r="Y197" s="24"/>
      <c r="Z197" s="24"/>
      <c r="AA197" s="16">
        <v>253907</v>
      </c>
      <c r="AB197" s="17">
        <f t="shared" si="18"/>
        <v>244.29906905284219</v>
      </c>
      <c r="AC197" s="27">
        <f t="shared" si="15"/>
        <v>-1.291839987559773E-2</v>
      </c>
      <c r="AD197" s="19">
        <v>34762</v>
      </c>
      <c r="AE197" s="20">
        <v>-3.86</v>
      </c>
      <c r="AF197" s="16">
        <v>124560000</v>
      </c>
      <c r="AG197" s="20">
        <v>0.7</v>
      </c>
      <c r="AH197" s="16">
        <v>12536000</v>
      </c>
      <c r="AI197" s="20">
        <v>1.51</v>
      </c>
      <c r="AJ197" s="7">
        <f t="shared" si="16"/>
        <v>1234688.1000000001</v>
      </c>
      <c r="AK197" s="27">
        <f t="shared" si="16"/>
        <v>-1.7395928476684697E-2</v>
      </c>
    </row>
    <row r="198" spans="1:37" ht="22.5" x14ac:dyDescent="0.55000000000000004">
      <c r="A198" s="7" t="s">
        <v>619</v>
      </c>
      <c r="B198" s="25">
        <v>0.5625</v>
      </c>
      <c r="C198" s="7">
        <v>1207926.7</v>
      </c>
      <c r="D198" s="27">
        <f t="shared" si="13"/>
        <v>-2.1674623736958498E-2</v>
      </c>
      <c r="E198" s="7">
        <v>317066.78000000003</v>
      </c>
      <c r="F198" s="27">
        <f t="shared" si="6"/>
        <v>-2.1317542145244173E-2</v>
      </c>
      <c r="G198" s="9">
        <v>48293589.472000003</v>
      </c>
      <c r="H198" s="9">
        <v>36527.099000000002</v>
      </c>
      <c r="I198" s="24">
        <f t="shared" si="19"/>
        <v>36.527099</v>
      </c>
      <c r="J198" s="24">
        <f t="shared" si="17"/>
        <v>29.561055000000003</v>
      </c>
      <c r="K198" s="11">
        <v>9396150.1980000008</v>
      </c>
      <c r="L198" s="11">
        <v>3108896.31</v>
      </c>
      <c r="M198" s="11">
        <v>19213.165000000001</v>
      </c>
      <c r="N198" s="13">
        <v>37346</v>
      </c>
      <c r="O198" s="13">
        <f>47+61</f>
        <v>108</v>
      </c>
      <c r="P198" s="13">
        <f>184+325</f>
        <v>509</v>
      </c>
      <c r="Q198" s="13">
        <v>25</v>
      </c>
      <c r="R198" s="23">
        <v>0.63500000000000001</v>
      </c>
      <c r="S198" s="13">
        <v>279</v>
      </c>
      <c r="T198" s="23">
        <v>6.97</v>
      </c>
      <c r="U198" s="15" t="s">
        <v>620</v>
      </c>
      <c r="V198" s="15" t="s">
        <v>621</v>
      </c>
      <c r="W198" s="24">
        <v>-10.46</v>
      </c>
      <c r="X198" s="24"/>
      <c r="Y198" s="24"/>
      <c r="Z198" s="24"/>
      <c r="AA198" s="16">
        <v>252133</v>
      </c>
      <c r="AB198" s="17">
        <f t="shared" si="18"/>
        <v>241.13716165674467</v>
      </c>
      <c r="AC198" s="27">
        <f t="shared" si="15"/>
        <v>-6.9868101312685615E-3</v>
      </c>
      <c r="AD198" s="19">
        <v>36415</v>
      </c>
      <c r="AE198" s="20">
        <v>5.22</v>
      </c>
      <c r="AF198" s="16">
        <v>122680000</v>
      </c>
      <c r="AG198" s="20">
        <v>-0.95</v>
      </c>
      <c r="AH198" s="16">
        <v>12328000</v>
      </c>
      <c r="AI198" s="20">
        <v>-0.71</v>
      </c>
      <c r="AJ198" s="7">
        <f t="shared" si="16"/>
        <v>1207926.7</v>
      </c>
      <c r="AK198" s="27">
        <f t="shared" si="16"/>
        <v>-2.1674623736958498E-2</v>
      </c>
    </row>
    <row r="199" spans="1:37" ht="22.5" x14ac:dyDescent="0.55000000000000004">
      <c r="A199" s="7" t="s">
        <v>622</v>
      </c>
      <c r="B199" s="25">
        <v>0.54513888888888895</v>
      </c>
      <c r="C199" s="7">
        <v>1229424</v>
      </c>
      <c r="D199" s="27">
        <f t="shared" si="13"/>
        <v>1.7796858037826269E-2</v>
      </c>
      <c r="E199" s="7">
        <v>318759.65000000002</v>
      </c>
      <c r="F199" s="27">
        <f t="shared" si="6"/>
        <v>5.3391591512677028E-3</v>
      </c>
      <c r="G199" s="9">
        <v>49149363.719999999</v>
      </c>
      <c r="H199" s="9">
        <v>34129.317000000003</v>
      </c>
      <c r="I199" s="24">
        <f t="shared" si="19"/>
        <v>34.129317</v>
      </c>
      <c r="J199" s="24">
        <f t="shared" si="17"/>
        <v>30.375777777777778</v>
      </c>
      <c r="K199" s="11">
        <v>9437090.7249999996</v>
      </c>
      <c r="L199" s="11">
        <v>3078806.9509999999</v>
      </c>
      <c r="M199" s="11">
        <v>14534.455</v>
      </c>
      <c r="N199" s="13">
        <v>32200</v>
      </c>
      <c r="O199" s="13">
        <f>264+159</f>
        <v>423</v>
      </c>
      <c r="P199" s="13">
        <f>103+75</f>
        <v>178</v>
      </c>
      <c r="Q199" s="13">
        <v>123</v>
      </c>
      <c r="R199" s="23">
        <v>3.18</v>
      </c>
      <c r="S199" s="13">
        <v>113</v>
      </c>
      <c r="T199" s="23">
        <v>3.4</v>
      </c>
      <c r="U199" s="15" t="s">
        <v>623</v>
      </c>
      <c r="V199" s="15" t="s">
        <v>624</v>
      </c>
      <c r="W199" s="24">
        <v>-0.82499999999999996</v>
      </c>
      <c r="X199" s="24"/>
      <c r="Y199" s="24"/>
      <c r="Z199" s="24"/>
      <c r="AA199" s="16">
        <v>252415</v>
      </c>
      <c r="AB199" s="17">
        <f t="shared" si="18"/>
        <v>244.30109698710456</v>
      </c>
      <c r="AC199" s="27">
        <f t="shared" si="15"/>
        <v>1.118457322127675E-3</v>
      </c>
      <c r="AD199" s="19">
        <v>37808</v>
      </c>
      <c r="AE199" s="20">
        <v>3.97</v>
      </c>
      <c r="AF199" s="16">
        <v>124370000</v>
      </c>
      <c r="AG199" s="20">
        <v>1.18</v>
      </c>
      <c r="AH199" s="16">
        <v>12501000</v>
      </c>
      <c r="AI199" s="20">
        <v>0.84</v>
      </c>
      <c r="AJ199" s="7">
        <f t="shared" si="16"/>
        <v>1229424</v>
      </c>
      <c r="AK199" s="27">
        <f t="shared" si="16"/>
        <v>1.7796858037826269E-2</v>
      </c>
    </row>
    <row r="200" spans="1:37" ht="22.5" x14ac:dyDescent="0.55000000000000004">
      <c r="A200" s="7" t="s">
        <v>625</v>
      </c>
      <c r="B200" s="25">
        <v>0.54166666666666663</v>
      </c>
      <c r="C200" s="7">
        <v>1258976.24</v>
      </c>
      <c r="D200" s="27">
        <f t="shared" si="13"/>
        <v>2.4037467952471969E-2</v>
      </c>
      <c r="E200" s="7">
        <v>325138.57</v>
      </c>
      <c r="F200" s="27">
        <f t="shared" si="6"/>
        <v>2.0011692195044173E-2</v>
      </c>
      <c r="G200" s="9">
        <v>50334547.283</v>
      </c>
      <c r="H200" s="9">
        <v>30922.428</v>
      </c>
      <c r="I200" s="24">
        <f t="shared" si="19"/>
        <v>30.922428</v>
      </c>
      <c r="J200" s="24">
        <f t="shared" si="17"/>
        <v>31.421801444444448</v>
      </c>
      <c r="K200" s="11">
        <v>9615366.4829999991</v>
      </c>
      <c r="L200" s="11">
        <v>3098928.9380000001</v>
      </c>
      <c r="M200" s="11">
        <v>28501.576000000001</v>
      </c>
      <c r="N200" s="13">
        <v>30901</v>
      </c>
      <c r="O200" s="13">
        <f>343+209</f>
        <v>552</v>
      </c>
      <c r="P200" s="13">
        <f>32+36</f>
        <v>68</v>
      </c>
      <c r="Q200" s="13">
        <v>291</v>
      </c>
      <c r="R200" s="23">
        <v>8.0399999999999991</v>
      </c>
      <c r="S200" s="13">
        <v>62</v>
      </c>
      <c r="T200" s="23">
        <v>2.7</v>
      </c>
      <c r="U200" s="15" t="s">
        <v>626</v>
      </c>
      <c r="V200" s="15" t="s">
        <v>627</v>
      </c>
      <c r="W200" s="24">
        <v>1.53</v>
      </c>
      <c r="X200" s="24"/>
      <c r="Y200" s="24"/>
      <c r="Z200" s="24"/>
      <c r="AA200" s="16">
        <v>251847</v>
      </c>
      <c r="AB200" s="17">
        <f t="shared" si="18"/>
        <v>250.34581592792449</v>
      </c>
      <c r="AC200" s="27">
        <f t="shared" si="15"/>
        <v>-2.2502624645920344E-3</v>
      </c>
      <c r="AD200" s="19">
        <v>37645</v>
      </c>
      <c r="AE200" s="20">
        <v>1.67</v>
      </c>
      <c r="AF200" s="16">
        <v>123380000</v>
      </c>
      <c r="AG200" s="20">
        <v>0.42</v>
      </c>
      <c r="AH200" s="16">
        <v>12333000</v>
      </c>
      <c r="AI200" s="20">
        <v>7.0000000000000007E-2</v>
      </c>
      <c r="AJ200" s="7">
        <f t="shared" si="16"/>
        <v>1258976.24</v>
      </c>
      <c r="AK200" s="27">
        <f t="shared" si="16"/>
        <v>2.4037467952471969E-2</v>
      </c>
    </row>
    <row r="201" spans="1:37" ht="22.5" x14ac:dyDescent="0.55000000000000004">
      <c r="A201" s="7" t="s">
        <v>628</v>
      </c>
      <c r="B201" s="25">
        <v>0.54166666666666663</v>
      </c>
      <c r="C201" s="7">
        <v>1284568.04</v>
      </c>
      <c r="D201" s="27">
        <f t="shared" si="13"/>
        <v>2.0327468610527477E-2</v>
      </c>
      <c r="E201" s="7">
        <v>327752.61</v>
      </c>
      <c r="F201" s="27">
        <f t="shared" si="6"/>
        <v>8.0397720885589941E-3</v>
      </c>
      <c r="G201" s="9">
        <v>51361181.853</v>
      </c>
      <c r="H201" s="9">
        <v>38184.709000000003</v>
      </c>
      <c r="I201" s="24">
        <f t="shared" si="19"/>
        <v>38.184709000000005</v>
      </c>
      <c r="J201" s="24">
        <f>AVERAGE(I193:I201)</f>
        <v>32.064678333333333</v>
      </c>
      <c r="K201" s="11">
        <v>9713917.9680000003</v>
      </c>
      <c r="L201" s="11">
        <v>3111361.682</v>
      </c>
      <c r="M201" s="11">
        <v>23488.947</v>
      </c>
      <c r="N201" s="13">
        <v>42788.184421039005</v>
      </c>
      <c r="O201" s="13">
        <f>227+145</f>
        <v>372</v>
      </c>
      <c r="P201" s="13">
        <f>155+89</f>
        <v>244</v>
      </c>
      <c r="Q201" s="13">
        <v>86</v>
      </c>
      <c r="R201" s="23">
        <v>3.36</v>
      </c>
      <c r="S201" s="13">
        <v>90</v>
      </c>
      <c r="T201" s="23">
        <v>2.89</v>
      </c>
      <c r="U201" s="15" t="s">
        <v>629</v>
      </c>
      <c r="V201" s="15" t="s">
        <v>630</v>
      </c>
      <c r="W201" s="24">
        <v>-1.79</v>
      </c>
      <c r="X201" s="24"/>
      <c r="Y201" s="24"/>
      <c r="Z201" s="24"/>
      <c r="AA201" s="16">
        <v>251996</v>
      </c>
      <c r="AB201" s="17">
        <f t="shared" si="18"/>
        <v>254.71222361862885</v>
      </c>
      <c r="AC201" s="27">
        <f t="shared" si="15"/>
        <v>5.9162904461840249E-4</v>
      </c>
      <c r="AD201" s="19">
        <v>38083</v>
      </c>
      <c r="AE201" s="20">
        <v>0.99</v>
      </c>
      <c r="AF201" s="16">
        <v>122710000</v>
      </c>
      <c r="AG201" s="20">
        <v>0.15</v>
      </c>
      <c r="AH201" s="16">
        <v>12268000</v>
      </c>
      <c r="AI201" s="20">
        <v>0.15</v>
      </c>
      <c r="AJ201" s="7">
        <f t="shared" si="16"/>
        <v>1284568.04</v>
      </c>
      <c r="AK201" s="27">
        <f t="shared" si="16"/>
        <v>2.0327468610527477E-2</v>
      </c>
    </row>
    <row r="202" spans="1:37" ht="22.5" x14ac:dyDescent="0.55000000000000004">
      <c r="A202" s="7" t="s">
        <v>631</v>
      </c>
      <c r="B202" s="25">
        <v>0.54166666666666663</v>
      </c>
      <c r="C202" s="7">
        <v>1294670.46</v>
      </c>
      <c r="D202" s="27">
        <f t="shared" si="13"/>
        <v>7.8644491264159289E-3</v>
      </c>
      <c r="E202" s="7">
        <v>330732.23</v>
      </c>
      <c r="F202" s="27">
        <f t="shared" si="6"/>
        <v>9.0910641413350923E-3</v>
      </c>
      <c r="G202" s="9">
        <v>51760021.020000003</v>
      </c>
      <c r="H202" s="9">
        <v>45033.885000000002</v>
      </c>
      <c r="I202" s="24">
        <f t="shared" si="19"/>
        <v>45.033885000000005</v>
      </c>
      <c r="J202" s="24">
        <f t="shared" si="17"/>
        <v>34.187257333333342</v>
      </c>
      <c r="K202" s="11">
        <v>9760784.4810000006</v>
      </c>
      <c r="L202" s="11">
        <v>3125879.0469999998</v>
      </c>
      <c r="M202" s="11">
        <v>1540580.4469999999</v>
      </c>
      <c r="N202" s="13">
        <v>43090</v>
      </c>
      <c r="O202" s="13">
        <f>290+172</f>
        <v>462</v>
      </c>
      <c r="P202" s="13">
        <f>131+88</f>
        <v>219</v>
      </c>
      <c r="Q202" s="13">
        <v>144</v>
      </c>
      <c r="R202" s="23">
        <v>6.58</v>
      </c>
      <c r="S202" s="13">
        <v>62</v>
      </c>
      <c r="T202" s="23">
        <v>2.44</v>
      </c>
      <c r="U202" s="15" t="s">
        <v>632</v>
      </c>
      <c r="V202" s="15" t="s">
        <v>633</v>
      </c>
      <c r="W202" s="24">
        <v>-2.06</v>
      </c>
      <c r="X202" s="24"/>
      <c r="Y202" s="24"/>
      <c r="Z202" s="24"/>
      <c r="AA202" s="16">
        <v>251303</v>
      </c>
      <c r="AB202" s="17">
        <f t="shared" si="18"/>
        <v>257.24597218497195</v>
      </c>
      <c r="AC202" s="27">
        <f t="shared" si="15"/>
        <v>-2.7500436514865667E-3</v>
      </c>
      <c r="AD202" s="19">
        <v>37116</v>
      </c>
      <c r="AE202" s="20">
        <v>-2.77</v>
      </c>
      <c r="AF202" s="16">
        <v>121560000</v>
      </c>
      <c r="AG202" s="20">
        <v>-0.43</v>
      </c>
      <c r="AH202" s="16">
        <v>12185000</v>
      </c>
      <c r="AI202" s="20">
        <v>-0.76</v>
      </c>
      <c r="AJ202" s="7">
        <f t="shared" si="16"/>
        <v>1294670.46</v>
      </c>
      <c r="AK202" s="27">
        <f t="shared" si="16"/>
        <v>7.8644491264159289E-3</v>
      </c>
    </row>
    <row r="203" spans="1:37" ht="22.5" x14ac:dyDescent="0.55000000000000004">
      <c r="A203" s="7" t="s">
        <v>634</v>
      </c>
      <c r="B203" s="25">
        <v>0.54166666666666663</v>
      </c>
      <c r="C203" s="7">
        <v>1301301.1499999999</v>
      </c>
      <c r="D203" s="27">
        <f t="shared" si="13"/>
        <v>5.1215272185942684E-3</v>
      </c>
      <c r="E203" s="7">
        <v>333288.73</v>
      </c>
      <c r="F203" s="27">
        <f t="shared" si="6"/>
        <v>7.7298181674039235E-3</v>
      </c>
      <c r="G203" s="9">
        <v>52024726.306999996</v>
      </c>
      <c r="H203" s="9">
        <v>41643.264999999999</v>
      </c>
      <c r="I203" s="24">
        <f t="shared" si="19"/>
        <v>41.643265</v>
      </c>
      <c r="J203" s="24">
        <f t="shared" si="17"/>
        <v>35.588061333333336</v>
      </c>
      <c r="K203" s="11">
        <v>9796684.3059999999</v>
      </c>
      <c r="L203" s="11">
        <v>3142641.57</v>
      </c>
      <c r="M203" s="11">
        <v>19710.733</v>
      </c>
      <c r="N203" s="13">
        <v>42113</v>
      </c>
      <c r="O203" s="13">
        <f>223+164</f>
        <v>387</v>
      </c>
      <c r="P203" s="13">
        <f>89+167</f>
        <v>256</v>
      </c>
      <c r="Q203" s="13">
        <v>91</v>
      </c>
      <c r="R203" s="23">
        <v>4.29</v>
      </c>
      <c r="S203" s="13">
        <v>51</v>
      </c>
      <c r="T203" s="23">
        <v>2.16</v>
      </c>
      <c r="U203" s="15" t="s">
        <v>635</v>
      </c>
      <c r="V203" s="15" t="s">
        <v>636</v>
      </c>
      <c r="W203" s="24">
        <v>-3.71</v>
      </c>
      <c r="X203" s="24"/>
      <c r="Y203" s="24"/>
      <c r="Z203" s="24"/>
      <c r="AA203" s="16">
        <v>250199</v>
      </c>
      <c r="AB203" s="17">
        <f t="shared" si="18"/>
        <v>259.64952770794446</v>
      </c>
      <c r="AC203" s="27">
        <f t="shared" si="15"/>
        <v>-4.3931031464009562E-3</v>
      </c>
      <c r="AD203" s="19">
        <v>39000</v>
      </c>
      <c r="AE203" s="20">
        <v>4.83</v>
      </c>
      <c r="AF203" s="16">
        <v>121610000</v>
      </c>
      <c r="AG203" s="20">
        <v>0.16</v>
      </c>
      <c r="AH203" s="16">
        <v>12157000</v>
      </c>
      <c r="AI203" s="20">
        <v>-0.08</v>
      </c>
      <c r="AJ203" s="7">
        <f t="shared" si="16"/>
        <v>1301301.1499999999</v>
      </c>
      <c r="AK203" s="27">
        <f t="shared" si="16"/>
        <v>5.1215272185942684E-3</v>
      </c>
    </row>
    <row r="204" spans="1:37" ht="22.5" x14ac:dyDescent="0.55000000000000004">
      <c r="A204" s="7" t="s">
        <v>637</v>
      </c>
      <c r="B204" s="25">
        <v>0.54166666666666663</v>
      </c>
      <c r="C204" s="7">
        <v>1301205.3999999999</v>
      </c>
      <c r="D204" s="27">
        <f t="shared" si="13"/>
        <v>-7.3580200862788381E-5</v>
      </c>
      <c r="E204" s="7">
        <v>333018</v>
      </c>
      <c r="F204" s="27">
        <f t="shared" si="6"/>
        <v>-8.1229869368815155E-4</v>
      </c>
      <c r="G204" s="9">
        <v>52022331.884000003</v>
      </c>
      <c r="H204" s="9">
        <v>40589.002999999997</v>
      </c>
      <c r="I204" s="24">
        <f t="shared" si="19"/>
        <v>40.589002999999998</v>
      </c>
      <c r="J204" s="24">
        <f t="shared" ref="J204:J293" si="20">AVERAGE(I196:I204)</f>
        <v>36.19914133333333</v>
      </c>
      <c r="K204" s="11">
        <v>9785566.6219999995</v>
      </c>
      <c r="L204" s="11">
        <v>3139809.8020000001</v>
      </c>
      <c r="M204" s="11">
        <v>40596.317000000003</v>
      </c>
      <c r="N204" s="13"/>
      <c r="O204" s="13">
        <f>176+140</f>
        <v>316</v>
      </c>
      <c r="P204" s="13">
        <f>93+212</f>
        <v>305</v>
      </c>
      <c r="Q204" s="13"/>
      <c r="R204" s="23"/>
      <c r="S204" s="13"/>
      <c r="T204" s="23"/>
      <c r="U204" s="15" t="s">
        <v>638</v>
      </c>
      <c r="V204" s="15" t="s">
        <v>639</v>
      </c>
      <c r="W204" s="24">
        <v>-4.83</v>
      </c>
      <c r="X204" s="24"/>
      <c r="Y204" s="24"/>
      <c r="Z204" s="24"/>
      <c r="AA204" s="16">
        <v>251155</v>
      </c>
      <c r="AB204" s="17">
        <f t="shared" si="18"/>
        <v>258.59611916147401</v>
      </c>
      <c r="AC204" s="27">
        <f t="shared" si="15"/>
        <v>3.8209585170203564E-3</v>
      </c>
      <c r="AD204" s="19">
        <v>38452</v>
      </c>
      <c r="AE204" s="20">
        <v>-0.2</v>
      </c>
      <c r="AF204" s="16">
        <v>121090000</v>
      </c>
      <c r="AG204" s="20">
        <v>-0.36</v>
      </c>
      <c r="AH204" s="16">
        <v>12081000</v>
      </c>
      <c r="AI204" s="20">
        <v>-0.67</v>
      </c>
      <c r="AJ204" s="7">
        <f t="shared" si="16"/>
        <v>1301205.3999999999</v>
      </c>
      <c r="AK204" s="27">
        <f t="shared" si="16"/>
        <v>-7.3580200862788381E-5</v>
      </c>
    </row>
    <row r="205" spans="1:37" ht="22.5" x14ac:dyDescent="0.55000000000000004">
      <c r="A205" s="7" t="s">
        <v>640</v>
      </c>
      <c r="B205" s="25">
        <v>0.53472222222222221</v>
      </c>
      <c r="C205" s="7">
        <v>1304422.25</v>
      </c>
      <c r="D205" s="27">
        <f t="shared" si="13"/>
        <v>2.4722076929593051E-3</v>
      </c>
      <c r="E205" s="7">
        <v>332711.28000000003</v>
      </c>
      <c r="F205" s="27">
        <f t="shared" si="6"/>
        <v>-9.2103129560561214E-4</v>
      </c>
      <c r="G205" s="9">
        <v>52150268.159000002</v>
      </c>
      <c r="H205" s="9">
        <v>36084.766000000003</v>
      </c>
      <c r="I205" s="24">
        <f t="shared" si="19"/>
        <v>36.084766000000002</v>
      </c>
      <c r="J205" s="24">
        <f t="shared" si="20"/>
        <v>36.651002111111112</v>
      </c>
      <c r="K205" s="11">
        <v>9765108.9550000001</v>
      </c>
      <c r="L205" s="11">
        <v>3147628.943</v>
      </c>
      <c r="M205" s="11">
        <v>76637.993000000002</v>
      </c>
      <c r="N205" s="13"/>
      <c r="O205" s="13">
        <f>135+127</f>
        <v>262</v>
      </c>
      <c r="P205" s="13">
        <f>241+111</f>
        <v>352</v>
      </c>
      <c r="Q205" s="13">
        <v>76</v>
      </c>
      <c r="R205" s="23">
        <v>2.0499999999999998</v>
      </c>
      <c r="S205" s="13">
        <v>97</v>
      </c>
      <c r="T205" s="23">
        <v>2.2000000000000002</v>
      </c>
      <c r="U205" s="15" t="s">
        <v>641</v>
      </c>
      <c r="V205" s="15" t="s">
        <v>642</v>
      </c>
      <c r="W205" s="24"/>
      <c r="X205" s="24"/>
      <c r="Y205" s="24"/>
      <c r="Z205" s="24"/>
      <c r="AA205" s="16">
        <v>251784</v>
      </c>
      <c r="AB205" s="17">
        <f t="shared" si="18"/>
        <v>258.4080245647063</v>
      </c>
      <c r="AC205" s="27">
        <f t="shared" si="15"/>
        <v>2.5044295355458601E-3</v>
      </c>
      <c r="AD205" s="19">
        <v>41481</v>
      </c>
      <c r="AE205" s="20">
        <v>9.32</v>
      </c>
      <c r="AF205" s="16">
        <v>118610000</v>
      </c>
      <c r="AG205" s="20">
        <v>-2.17</v>
      </c>
      <c r="AH205" s="16">
        <v>11818000</v>
      </c>
      <c r="AI205" s="20">
        <v>-2.46</v>
      </c>
      <c r="AJ205" s="7">
        <f t="shared" si="16"/>
        <v>1304422.25</v>
      </c>
      <c r="AK205" s="27">
        <f t="shared" si="16"/>
        <v>2.4722076929593051E-3</v>
      </c>
    </row>
    <row r="206" spans="1:37" ht="22.5" x14ac:dyDescent="0.55000000000000004">
      <c r="A206" s="7" t="s">
        <v>643</v>
      </c>
      <c r="B206" s="25">
        <v>0.53472222222222221</v>
      </c>
      <c r="C206" s="7">
        <v>1282050</v>
      </c>
      <c r="D206" s="27">
        <f t="shared" si="13"/>
        <v>-1.7151079721309581E-2</v>
      </c>
      <c r="E206" s="7">
        <v>326497.64</v>
      </c>
      <c r="F206" s="27">
        <f t="shared" si="6"/>
        <v>-1.867577197863568E-2</v>
      </c>
      <c r="G206" s="9">
        <v>51252357.891999997</v>
      </c>
      <c r="H206" s="9">
        <v>37934.396000000001</v>
      </c>
      <c r="I206" s="24">
        <f t="shared" si="19"/>
        <v>37.934396</v>
      </c>
      <c r="J206" s="24">
        <f t="shared" si="20"/>
        <v>37.894318666666663</v>
      </c>
      <c r="K206" s="11">
        <v>9628426.7890000008</v>
      </c>
      <c r="L206" s="11">
        <v>3132165.0669999998</v>
      </c>
      <c r="M206" s="11">
        <v>65183.93</v>
      </c>
      <c r="N206" s="13"/>
      <c r="O206" s="13">
        <f>55+87</f>
        <v>142</v>
      </c>
      <c r="P206" s="13">
        <f>332+155</f>
        <v>487</v>
      </c>
      <c r="Q206" s="13">
        <v>40</v>
      </c>
      <c r="R206" s="23">
        <v>1.39</v>
      </c>
      <c r="S206" s="13">
        <v>283</v>
      </c>
      <c r="T206" s="23">
        <v>6.54</v>
      </c>
      <c r="U206" s="15" t="s">
        <v>644</v>
      </c>
      <c r="V206" s="15" t="s">
        <v>645</v>
      </c>
      <c r="W206" s="24"/>
      <c r="X206" s="24"/>
      <c r="Y206" s="24"/>
      <c r="Z206" s="24"/>
      <c r="AA206" s="16">
        <v>244073</v>
      </c>
      <c r="AB206" s="17">
        <f t="shared" si="18"/>
        <v>262.26968877344069</v>
      </c>
      <c r="AC206" s="27">
        <f t="shared" si="15"/>
        <v>-3.0625456740698387E-2</v>
      </c>
      <c r="AD206" s="19">
        <v>41614</v>
      </c>
      <c r="AE206" s="20">
        <v>0.36</v>
      </c>
      <c r="AF206" s="16">
        <v>118090000</v>
      </c>
      <c r="AG206" s="20">
        <v>0.19</v>
      </c>
      <c r="AH206" s="16">
        <v>11760000</v>
      </c>
      <c r="AI206" s="20">
        <v>0.38</v>
      </c>
      <c r="AJ206" s="7">
        <f t="shared" si="16"/>
        <v>1282050</v>
      </c>
      <c r="AK206" s="27">
        <f t="shared" si="16"/>
        <v>-1.7151079721309581E-2</v>
      </c>
    </row>
    <row r="207" spans="1:37" ht="22.5" x14ac:dyDescent="0.55000000000000004">
      <c r="A207" s="7" t="s">
        <v>646</v>
      </c>
      <c r="B207" s="25">
        <v>0.54166666666666663</v>
      </c>
      <c r="C207" s="7">
        <v>1274488</v>
      </c>
      <c r="D207" s="27">
        <f t="shared" si="13"/>
        <v>-5.8983658983658982E-3</v>
      </c>
      <c r="E207" s="7">
        <v>323984.48</v>
      </c>
      <c r="F207" s="27">
        <f t="shared" si="6"/>
        <v>-7.6973297571156785E-3</v>
      </c>
      <c r="G207" s="9">
        <v>50953779.024999999</v>
      </c>
      <c r="H207" s="9">
        <v>33618.639000000003</v>
      </c>
      <c r="I207" s="24">
        <f t="shared" si="19"/>
        <v>33.618639000000002</v>
      </c>
      <c r="J207" s="24">
        <f t="shared" si="20"/>
        <v>37.571156444444441</v>
      </c>
      <c r="K207" s="11">
        <v>9626711.7579999994</v>
      </c>
      <c r="L207" s="11">
        <v>3121440.1529999999</v>
      </c>
      <c r="M207" s="11">
        <v>1587846.675</v>
      </c>
      <c r="N207" s="13"/>
      <c r="O207" s="13">
        <f>126+124</f>
        <v>250</v>
      </c>
      <c r="P207" s="13">
        <f>171+259</f>
        <v>430</v>
      </c>
      <c r="Q207" s="13">
        <v>69</v>
      </c>
      <c r="R207" s="23">
        <v>1.86</v>
      </c>
      <c r="S207" s="13">
        <v>143</v>
      </c>
      <c r="T207" s="23">
        <v>2.89</v>
      </c>
      <c r="U207" s="15" t="s">
        <v>647</v>
      </c>
      <c r="V207" s="15" t="s">
        <v>648</v>
      </c>
      <c r="W207" s="24"/>
      <c r="X207" s="24"/>
      <c r="Y207" s="24"/>
      <c r="Z207" s="24"/>
      <c r="AA207" s="16">
        <v>246260</v>
      </c>
      <c r="AB207" s="17">
        <f t="shared" si="18"/>
        <v>258.67753973848778</v>
      </c>
      <c r="AC207" s="27">
        <f t="shared" si="15"/>
        <v>8.9604339685258605E-3</v>
      </c>
      <c r="AD207" s="19">
        <v>42520</v>
      </c>
      <c r="AE207" s="20">
        <v>1.96</v>
      </c>
      <c r="AF207" s="16">
        <v>118330000</v>
      </c>
      <c r="AG207" s="20">
        <v>-0.85</v>
      </c>
      <c r="AH207" s="16">
        <v>11806000</v>
      </c>
      <c r="AI207" s="20">
        <v>-0.36</v>
      </c>
      <c r="AJ207" s="7">
        <f t="shared" si="16"/>
        <v>1274488</v>
      </c>
      <c r="AK207" s="27">
        <f t="shared" si="16"/>
        <v>-5.8983658983658982E-3</v>
      </c>
    </row>
    <row r="208" spans="1:37" ht="22.5" x14ac:dyDescent="0.55000000000000004">
      <c r="A208" s="7" t="s">
        <v>649</v>
      </c>
      <c r="B208" s="25">
        <v>0.55277777777777781</v>
      </c>
      <c r="C208" s="7">
        <v>1281075.3999999999</v>
      </c>
      <c r="D208" s="27">
        <f t="shared" si="13"/>
        <v>5.16866380852532E-3</v>
      </c>
      <c r="E208" s="7">
        <v>325620.36</v>
      </c>
      <c r="F208" s="27">
        <f t="shared" si="6"/>
        <v>5.0492542111892913E-3</v>
      </c>
      <c r="G208" s="9">
        <v>51217907.162</v>
      </c>
      <c r="H208" s="9">
        <v>34099.428999999996</v>
      </c>
      <c r="I208" s="24">
        <f t="shared" si="19"/>
        <v>34.099428999999994</v>
      </c>
      <c r="J208" s="24">
        <f t="shared" si="20"/>
        <v>37.567835555555547</v>
      </c>
      <c r="K208" s="11">
        <v>9696235.8609999996</v>
      </c>
      <c r="L208" s="11">
        <v>3117624.3870000001</v>
      </c>
      <c r="M208" s="11">
        <v>34623.462</v>
      </c>
      <c r="N208" s="13">
        <v>32230</v>
      </c>
      <c r="O208" s="13">
        <f>202+138</f>
        <v>340</v>
      </c>
      <c r="P208" s="13">
        <f>186+103</f>
        <v>289</v>
      </c>
      <c r="Q208" s="13">
        <v>77</v>
      </c>
      <c r="R208" s="23">
        <v>2.4700000000000002</v>
      </c>
      <c r="S208" s="13">
        <v>96</v>
      </c>
      <c r="T208" s="23">
        <v>2.5</v>
      </c>
      <c r="U208" s="15" t="s">
        <v>650</v>
      </c>
      <c r="V208" s="15" t="s">
        <v>651</v>
      </c>
      <c r="W208" s="24">
        <v>-0.52</v>
      </c>
      <c r="X208" s="24"/>
      <c r="Y208" s="24"/>
      <c r="Z208" s="24"/>
      <c r="AA208" s="16">
        <v>244140</v>
      </c>
      <c r="AB208" s="17">
        <f t="shared" si="18"/>
        <v>262.27479073482425</v>
      </c>
      <c r="AC208" s="27">
        <f t="shared" si="15"/>
        <v>-8.6087874604077186E-3</v>
      </c>
      <c r="AD208" s="19">
        <v>43979</v>
      </c>
      <c r="AE208" s="20">
        <v>3.9</v>
      </c>
      <c r="AF208" s="16">
        <v>116720000</v>
      </c>
      <c r="AG208" s="20">
        <v>-1.38</v>
      </c>
      <c r="AH208" s="16">
        <v>11583000</v>
      </c>
      <c r="AI208" s="20">
        <v>-1.67</v>
      </c>
      <c r="AJ208" s="7">
        <f t="shared" si="16"/>
        <v>1281075.3999999999</v>
      </c>
      <c r="AK208" s="27">
        <f t="shared" si="16"/>
        <v>5.16866380852532E-3</v>
      </c>
    </row>
    <row r="209" spans="1:37" ht="22.5" x14ac:dyDescent="0.55000000000000004">
      <c r="A209" s="7" t="s">
        <v>652</v>
      </c>
      <c r="B209" s="25">
        <v>0.57916666666666672</v>
      </c>
      <c r="C209" s="7">
        <v>1284119.1100000001</v>
      </c>
      <c r="D209" s="27">
        <f t="shared" si="13"/>
        <v>2.3759023083265163E-3</v>
      </c>
      <c r="E209" s="7">
        <v>326244.05</v>
      </c>
      <c r="F209" s="27">
        <f t="shared" si="6"/>
        <v>1.9153900573047888E-3</v>
      </c>
      <c r="G209" s="9">
        <v>51341015.107000001</v>
      </c>
      <c r="H209" s="9">
        <v>30906.93</v>
      </c>
      <c r="I209" s="24">
        <f t="shared" si="19"/>
        <v>30.906929999999999</v>
      </c>
      <c r="J209" s="24">
        <f t="shared" si="20"/>
        <v>37.566113555555553</v>
      </c>
      <c r="K209" s="11">
        <v>9737181.1579999998</v>
      </c>
      <c r="L209" s="11">
        <v>3117234.4670000002</v>
      </c>
      <c r="M209" s="11">
        <v>18658.244999999999</v>
      </c>
      <c r="N209" s="13">
        <v>3099</v>
      </c>
      <c r="O209" s="13">
        <f>213+135</f>
        <v>348</v>
      </c>
      <c r="P209" s="13">
        <f>177+109</f>
        <v>286</v>
      </c>
      <c r="Q209" s="13">
        <v>96</v>
      </c>
      <c r="R209" s="23">
        <v>3.06</v>
      </c>
      <c r="S209" s="13">
        <v>76</v>
      </c>
      <c r="T209" s="23">
        <v>2.1800000000000002</v>
      </c>
      <c r="U209" s="15" t="s">
        <v>653</v>
      </c>
      <c r="V209" s="15" t="s">
        <v>654</v>
      </c>
      <c r="W209" s="24">
        <v>-3.2</v>
      </c>
      <c r="X209" s="24"/>
      <c r="Y209" s="24"/>
      <c r="Z209" s="24"/>
      <c r="AA209" s="16">
        <v>247191</v>
      </c>
      <c r="AB209" s="17">
        <f t="shared" si="18"/>
        <v>259.69970885671404</v>
      </c>
      <c r="AC209" s="27">
        <f t="shared" si="15"/>
        <v>1.2496927992135642E-2</v>
      </c>
      <c r="AD209" s="19">
        <v>43565</v>
      </c>
      <c r="AE209" s="20">
        <v>-0.46</v>
      </c>
      <c r="AF209" s="16">
        <v>116880000</v>
      </c>
      <c r="AG209" s="20">
        <v>0.95</v>
      </c>
      <c r="AH209" s="16">
        <v>11675000</v>
      </c>
      <c r="AI209" s="20">
        <v>0.96</v>
      </c>
      <c r="AJ209" s="7">
        <f t="shared" si="16"/>
        <v>1284119.1100000001</v>
      </c>
      <c r="AK209" s="27">
        <f t="shared" si="16"/>
        <v>2.3759023083265163E-3</v>
      </c>
    </row>
    <row r="210" spans="1:37" ht="22.5" x14ac:dyDescent="0.55000000000000004">
      <c r="A210" s="7" t="s">
        <v>655</v>
      </c>
      <c r="B210" s="25">
        <v>0.5395833333333333</v>
      </c>
      <c r="C210" s="7">
        <v>1284121.1599999999</v>
      </c>
      <c r="D210" s="27">
        <f t="shared" si="13"/>
        <v>1.5964251165456744E-6</v>
      </c>
      <c r="E210" s="7">
        <v>326299.8</v>
      </c>
      <c r="F210" s="27">
        <f t="shared" si="6"/>
        <v>1.7088434256495866E-4</v>
      </c>
      <c r="G210" s="9">
        <v>51337651.831</v>
      </c>
      <c r="H210" s="9">
        <v>41503.019999999997</v>
      </c>
      <c r="I210" s="24">
        <f t="shared" si="19"/>
        <v>41.503019999999999</v>
      </c>
      <c r="J210" s="24">
        <f t="shared" si="20"/>
        <v>37.934814777777774</v>
      </c>
      <c r="K210" s="11">
        <v>9794292.2080000006</v>
      </c>
      <c r="L210" s="11">
        <v>3115954.9070000001</v>
      </c>
      <c r="M210" s="11">
        <v>28231.83</v>
      </c>
      <c r="N210" s="13">
        <v>33381</v>
      </c>
      <c r="O210" s="13">
        <f>143+100</f>
        <v>243</v>
      </c>
      <c r="P210" s="13">
        <f>243+139</f>
        <v>382</v>
      </c>
      <c r="Q210" s="13">
        <v>77</v>
      </c>
      <c r="R210" s="23">
        <v>3.016</v>
      </c>
      <c r="S210" s="13">
        <v>116</v>
      </c>
      <c r="T210" s="23">
        <v>2.2400000000000002</v>
      </c>
      <c r="U210" s="15" t="s">
        <v>656</v>
      </c>
      <c r="V210" s="15" t="s">
        <v>657</v>
      </c>
      <c r="W210" s="24">
        <v>-3.02</v>
      </c>
      <c r="X210" s="24"/>
      <c r="Y210" s="24"/>
      <c r="Z210" s="24"/>
      <c r="AA210" s="16">
        <v>252584</v>
      </c>
      <c r="AB210" s="17">
        <f t="shared" si="18"/>
        <v>254.36250493301239</v>
      </c>
      <c r="AC210" s="27">
        <f t="shared" si="15"/>
        <v>2.1817137355324423E-2</v>
      </c>
      <c r="AD210" s="19">
        <v>42319</v>
      </c>
      <c r="AE210" s="20">
        <v>-2.83</v>
      </c>
      <c r="AF210" s="16">
        <v>119180000</v>
      </c>
      <c r="AG210" s="20">
        <v>2.4900000000000002</v>
      </c>
      <c r="AH210" s="16">
        <v>11931000</v>
      </c>
      <c r="AI210" s="20">
        <v>2.54</v>
      </c>
      <c r="AJ210" s="7">
        <f t="shared" si="16"/>
        <v>1284121.1599999999</v>
      </c>
      <c r="AK210" s="27">
        <f t="shared" si="16"/>
        <v>1.5964251165456744E-6</v>
      </c>
    </row>
    <row r="211" spans="1:37" ht="22.5" x14ac:dyDescent="0.55000000000000004">
      <c r="A211" s="7" t="s">
        <v>658</v>
      </c>
      <c r="B211" s="25">
        <v>0.53611111111111109</v>
      </c>
      <c r="C211" s="7">
        <v>1275996.2</v>
      </c>
      <c r="D211" s="27">
        <f t="shared" si="13"/>
        <v>-6.3272534189842133E-3</v>
      </c>
      <c r="E211" s="7">
        <v>324866.01</v>
      </c>
      <c r="F211" s="27">
        <f t="shared" si="6"/>
        <v>-4.3940878909517478E-3</v>
      </c>
      <c r="G211" s="9">
        <v>51013324.975000001</v>
      </c>
      <c r="H211" s="9">
        <v>27770.669000000002</v>
      </c>
      <c r="I211" s="24">
        <f t="shared" si="19"/>
        <v>27.770669000000002</v>
      </c>
      <c r="J211" s="24">
        <f t="shared" si="20"/>
        <v>36.016679666666661</v>
      </c>
      <c r="K211" s="11">
        <v>9752931.2050000001</v>
      </c>
      <c r="L211" s="11">
        <v>3111167.4920000001</v>
      </c>
      <c r="M211" s="11">
        <v>19743.97</v>
      </c>
      <c r="N211" s="13">
        <v>25510</v>
      </c>
      <c r="O211" s="13">
        <f>125+86</f>
        <v>211</v>
      </c>
      <c r="P211" s="13">
        <f>144+263</f>
        <v>407</v>
      </c>
      <c r="Q211" s="13">
        <v>64</v>
      </c>
      <c r="R211" s="23">
        <v>2.63</v>
      </c>
      <c r="S211" s="13">
        <v>155</v>
      </c>
      <c r="T211" s="23">
        <v>2.4</v>
      </c>
      <c r="U211" s="15" t="s">
        <v>659</v>
      </c>
      <c r="V211" s="15" t="s">
        <v>660</v>
      </c>
      <c r="W211" s="24">
        <v>-3.52</v>
      </c>
      <c r="X211" s="24"/>
      <c r="Y211" s="24"/>
      <c r="Z211" s="24"/>
      <c r="AA211" s="16">
        <v>252753</v>
      </c>
      <c r="AB211" s="17">
        <f t="shared" si="18"/>
        <v>252.72666861323111</v>
      </c>
      <c r="AC211" s="27">
        <f t="shared" si="15"/>
        <v>6.6908434421808494E-4</v>
      </c>
      <c r="AD211" s="19">
        <v>42371</v>
      </c>
      <c r="AE211" s="20">
        <v>0.18</v>
      </c>
      <c r="AF211" s="16">
        <v>120730000</v>
      </c>
      <c r="AG211" s="20">
        <v>0.74</v>
      </c>
      <c r="AH211" s="16">
        <v>12127000</v>
      </c>
      <c r="AI211" s="20">
        <v>0.75</v>
      </c>
      <c r="AJ211" s="7">
        <f t="shared" si="16"/>
        <v>1275996.2</v>
      </c>
      <c r="AK211" s="27">
        <f t="shared" si="16"/>
        <v>-6.3272534189842133E-3</v>
      </c>
    </row>
    <row r="212" spans="1:37" ht="22.5" x14ac:dyDescent="0.55000000000000004">
      <c r="A212" s="7" t="s">
        <v>661</v>
      </c>
      <c r="B212" s="25">
        <v>0.56944444444444442</v>
      </c>
      <c r="C212" s="7">
        <v>1283345.6499999999</v>
      </c>
      <c r="D212" s="27">
        <f t="shared" si="13"/>
        <v>5.7597742062240886E-3</v>
      </c>
      <c r="E212" s="7">
        <v>325505.34000000003</v>
      </c>
      <c r="F212" s="27">
        <f t="shared" si="6"/>
        <v>1.9679805837489184E-3</v>
      </c>
      <c r="G212" s="9">
        <v>51306411.810000002</v>
      </c>
      <c r="H212" s="9">
        <v>38058.413</v>
      </c>
      <c r="I212" s="24">
        <f t="shared" si="19"/>
        <v>38.058413000000002</v>
      </c>
      <c r="J212" s="24">
        <f t="shared" si="20"/>
        <v>35.618362777777776</v>
      </c>
      <c r="K212" s="11">
        <v>9772809.4629999995</v>
      </c>
      <c r="L212" s="11">
        <v>3112563.4219999998</v>
      </c>
      <c r="M212" s="11">
        <v>1492227.122</v>
      </c>
      <c r="N212" s="13">
        <v>23580</v>
      </c>
      <c r="O212" s="13">
        <f>219+154</f>
        <v>373</v>
      </c>
      <c r="P212" s="13">
        <f>165+140</f>
        <v>305</v>
      </c>
      <c r="Q212" s="13">
        <v>83</v>
      </c>
      <c r="R212" s="23">
        <v>2.65</v>
      </c>
      <c r="S212" s="13">
        <v>73</v>
      </c>
      <c r="T212" s="23">
        <v>2</v>
      </c>
      <c r="U212" s="15" t="s">
        <v>662</v>
      </c>
      <c r="V212" s="15" t="s">
        <v>663</v>
      </c>
      <c r="W212" s="24">
        <v>-1.56</v>
      </c>
      <c r="X212" s="24"/>
      <c r="Y212" s="24"/>
      <c r="Z212" s="24"/>
      <c r="AA212" s="16">
        <v>253371</v>
      </c>
      <c r="AB212" s="17">
        <f t="shared" si="18"/>
        <v>253.35095450939531</v>
      </c>
      <c r="AC212" s="27">
        <f t="shared" si="15"/>
        <v>2.4450748359070573E-3</v>
      </c>
      <c r="AD212" s="19">
        <v>42085</v>
      </c>
      <c r="AE212" s="20">
        <v>-0.65</v>
      </c>
      <c r="AF212" s="16">
        <v>120440000</v>
      </c>
      <c r="AG212" s="20">
        <v>-0.93</v>
      </c>
      <c r="AH212" s="16">
        <v>12093000</v>
      </c>
      <c r="AI212" s="20">
        <v>-0.74</v>
      </c>
      <c r="AJ212" s="7">
        <f t="shared" si="16"/>
        <v>1283345.6499999999</v>
      </c>
      <c r="AK212" s="27">
        <f t="shared" si="16"/>
        <v>5.7597742062240886E-3</v>
      </c>
    </row>
    <row r="213" spans="1:37" ht="22.5" x14ac:dyDescent="0.55000000000000004">
      <c r="A213" s="7" t="s">
        <v>664</v>
      </c>
      <c r="B213" s="25">
        <v>0.55069444444444449</v>
      </c>
      <c r="C213" s="7">
        <v>1282411.3999999999</v>
      </c>
      <c r="D213" s="27">
        <f t="shared" si="13"/>
        <v>-7.2798002626961456E-4</v>
      </c>
      <c r="E213" s="7">
        <v>325283.53000000003</v>
      </c>
      <c r="F213" s="27">
        <f t="shared" si="6"/>
        <v>-6.814327531462494E-4</v>
      </c>
      <c r="G213" s="9">
        <v>51256721.192000002</v>
      </c>
      <c r="H213" s="9">
        <v>24573.638999999999</v>
      </c>
      <c r="I213" s="24">
        <f t="shared" si="19"/>
        <v>24.573639</v>
      </c>
      <c r="J213" s="24">
        <f t="shared" si="20"/>
        <v>33.838877888888888</v>
      </c>
      <c r="K213" s="11">
        <v>9774589.1799999997</v>
      </c>
      <c r="L213" s="11">
        <v>3100853.7059999998</v>
      </c>
      <c r="M213" s="11">
        <v>25106.185000000001</v>
      </c>
      <c r="N213" s="13">
        <v>25770</v>
      </c>
      <c r="O213" s="13">
        <f>155+127</f>
        <v>282</v>
      </c>
      <c r="P213" s="13">
        <f>224+104</f>
        <v>328</v>
      </c>
      <c r="Q213" s="13">
        <v>89</v>
      </c>
      <c r="R213" s="23">
        <v>1.69</v>
      </c>
      <c r="S213" s="13">
        <v>71</v>
      </c>
      <c r="T213" s="23">
        <v>1.8</v>
      </c>
      <c r="U213" s="15" t="s">
        <v>665</v>
      </c>
      <c r="V213" s="15" t="s">
        <v>666</v>
      </c>
      <c r="W213" s="24">
        <v>-3.83</v>
      </c>
      <c r="X213" s="24"/>
      <c r="Y213" s="24"/>
      <c r="Z213" s="24"/>
      <c r="AA213" s="16">
        <v>252608</v>
      </c>
      <c r="AB213" s="17">
        <f t="shared" si="18"/>
        <v>253.88017829205725</v>
      </c>
      <c r="AC213" s="27">
        <f t="shared" si="15"/>
        <v>-3.0113943584704206E-3</v>
      </c>
      <c r="AD213" s="19">
        <v>44202</v>
      </c>
      <c r="AE213" s="20">
        <v>0.66</v>
      </c>
      <c r="AF213" s="16">
        <v>120760000</v>
      </c>
      <c r="AG213" s="20">
        <v>-0.32</v>
      </c>
      <c r="AH213" s="16">
        <v>12100000</v>
      </c>
      <c r="AI213" s="20">
        <v>-0.17</v>
      </c>
      <c r="AJ213" s="7">
        <f t="shared" si="16"/>
        <v>1282411.3999999999</v>
      </c>
      <c r="AK213" s="27">
        <f t="shared" si="16"/>
        <v>-7.2798002626961456E-4</v>
      </c>
    </row>
    <row r="214" spans="1:37" ht="22.5" x14ac:dyDescent="0.55000000000000004">
      <c r="A214" s="7" t="s">
        <v>667</v>
      </c>
      <c r="B214" s="25">
        <v>0.55694444444444446</v>
      </c>
      <c r="C214" s="7">
        <v>1282190.8</v>
      </c>
      <c r="D214" s="27">
        <f t="shared" si="13"/>
        <v>-1.7201968104763043E-4</v>
      </c>
      <c r="E214" s="7">
        <v>325083.14</v>
      </c>
      <c r="F214" s="27">
        <f t="shared" si="6"/>
        <v>-6.1604717582841584E-4</v>
      </c>
      <c r="G214" s="9">
        <v>51247730.859999999</v>
      </c>
      <c r="H214" s="9">
        <v>28499.907999999999</v>
      </c>
      <c r="I214" s="24">
        <f t="shared" si="19"/>
        <v>28.499907999999998</v>
      </c>
      <c r="J214" s="24">
        <f t="shared" si="20"/>
        <v>32.996115888888887</v>
      </c>
      <c r="K214" s="11">
        <v>9766173.4959999993</v>
      </c>
      <c r="L214" s="11">
        <v>3099424.3859999999</v>
      </c>
      <c r="M214" s="11">
        <v>20135.491000000002</v>
      </c>
      <c r="N214" s="13">
        <v>30270</v>
      </c>
      <c r="O214" s="13">
        <f>151+137</f>
        <v>288</v>
      </c>
      <c r="P214" s="13">
        <f>105+224</f>
        <v>329</v>
      </c>
      <c r="Q214" s="13">
        <v>78</v>
      </c>
      <c r="R214" s="23">
        <v>1.42</v>
      </c>
      <c r="S214" s="13">
        <v>84</v>
      </c>
      <c r="T214" s="23">
        <v>1.93</v>
      </c>
      <c r="U214" s="15" t="s">
        <v>668</v>
      </c>
      <c r="V214" s="15" t="s">
        <v>669</v>
      </c>
      <c r="W214" s="24">
        <v>-4.49</v>
      </c>
      <c r="X214" s="24"/>
      <c r="Y214" s="24"/>
      <c r="Z214" s="24"/>
      <c r="AA214" s="16">
        <v>247092</v>
      </c>
      <c r="AB214" s="17">
        <f t="shared" si="18"/>
        <v>259.47148730837097</v>
      </c>
      <c r="AC214" s="27">
        <f t="shared" si="15"/>
        <v>-2.1836204712439855E-2</v>
      </c>
      <c r="AD214" s="19">
        <v>40025</v>
      </c>
      <c r="AE214" s="20">
        <v>-2.08</v>
      </c>
      <c r="AF214" s="16">
        <v>117730000</v>
      </c>
      <c r="AG214" s="20">
        <v>-1.49</v>
      </c>
      <c r="AH214" s="16">
        <v>11853000</v>
      </c>
      <c r="AI214" s="20">
        <v>-1.65</v>
      </c>
      <c r="AJ214" s="7">
        <f t="shared" si="16"/>
        <v>1282190.8</v>
      </c>
      <c r="AK214" s="27">
        <f t="shared" si="16"/>
        <v>-1.7201968104763043E-4</v>
      </c>
    </row>
    <row r="215" spans="1:37" ht="22.5" x14ac:dyDescent="0.55000000000000004">
      <c r="A215" s="7" t="s">
        <v>670</v>
      </c>
      <c r="B215" s="25">
        <v>0.54166666666666663</v>
      </c>
      <c r="C215" s="7">
        <v>1274304.7</v>
      </c>
      <c r="D215" s="27">
        <f t="shared" si="13"/>
        <v>-6.1504886792200786E-3</v>
      </c>
      <c r="E215" s="7">
        <v>324426</v>
      </c>
      <c r="F215" s="27">
        <f t="shared" si="6"/>
        <v>-2.0214521122197127E-3</v>
      </c>
      <c r="G215" s="9">
        <v>50932421.329000004</v>
      </c>
      <c r="H215" s="9">
        <v>26645.485000000001</v>
      </c>
      <c r="I215" s="24">
        <f t="shared" si="19"/>
        <v>26.645485000000001</v>
      </c>
      <c r="J215" s="24">
        <f t="shared" si="20"/>
        <v>31.741792444444442</v>
      </c>
      <c r="K215" s="11">
        <v>9745058.5390000008</v>
      </c>
      <c r="L215" s="11">
        <v>3081610.7409999999</v>
      </c>
      <c r="M215" s="11">
        <v>22973.381000000001</v>
      </c>
      <c r="N215" s="13">
        <v>27690</v>
      </c>
      <c r="O215" s="13">
        <f>126+174</f>
        <v>300</v>
      </c>
      <c r="P215" s="13">
        <f>116+205</f>
        <v>321</v>
      </c>
      <c r="Q215" s="13">
        <v>79</v>
      </c>
      <c r="R215" s="23">
        <v>1.84</v>
      </c>
      <c r="S215" s="13">
        <v>82</v>
      </c>
      <c r="T215" s="23">
        <v>1.97</v>
      </c>
      <c r="U215" s="15" t="s">
        <v>671</v>
      </c>
      <c r="V215" s="15" t="s">
        <v>672</v>
      </c>
      <c r="W215" s="24">
        <v>-2.2200000000000002</v>
      </c>
      <c r="X215" s="24"/>
      <c r="Y215" s="24"/>
      <c r="Z215" s="24"/>
      <c r="AA215" s="16">
        <v>242991</v>
      </c>
      <c r="AB215" s="17">
        <f t="shared" si="18"/>
        <v>262.39280717804365</v>
      </c>
      <c r="AC215" s="27">
        <f t="shared" si="15"/>
        <v>-1.6597056966635937E-2</v>
      </c>
      <c r="AD215" s="19">
        <v>38185</v>
      </c>
      <c r="AE215" s="20">
        <v>-4.62</v>
      </c>
      <c r="AF215" s="16">
        <v>117120000</v>
      </c>
      <c r="AG215" s="20">
        <v>-0.38</v>
      </c>
      <c r="AH215" s="16">
        <v>11788000</v>
      </c>
      <c r="AI215" s="20">
        <v>-0.67</v>
      </c>
      <c r="AJ215" s="7">
        <f t="shared" si="16"/>
        <v>1274304.7</v>
      </c>
      <c r="AK215" s="27">
        <f t="shared" si="16"/>
        <v>-6.1504886792200786E-3</v>
      </c>
    </row>
    <row r="216" spans="1:37" ht="22.5" x14ac:dyDescent="0.55000000000000004">
      <c r="A216" s="7" t="s">
        <v>673</v>
      </c>
      <c r="B216" s="25">
        <v>0.55138888888888882</v>
      </c>
      <c r="C216" s="7">
        <v>1281589.3999999999</v>
      </c>
      <c r="D216" s="27">
        <f t="shared" si="13"/>
        <v>5.7166076527850329E-3</v>
      </c>
      <c r="E216" s="7">
        <v>327881.87</v>
      </c>
      <c r="F216" s="27">
        <f t="shared" si="6"/>
        <v>1.0652259683255894E-2</v>
      </c>
      <c r="G216" s="9">
        <v>51222515.053000003</v>
      </c>
      <c r="H216" s="9">
        <v>35394.67</v>
      </c>
      <c r="I216" s="24">
        <f t="shared" si="19"/>
        <v>35.394669999999998</v>
      </c>
      <c r="J216" s="24">
        <f t="shared" si="20"/>
        <v>31.939129222222228</v>
      </c>
      <c r="K216" s="11">
        <v>9766263.6520000007</v>
      </c>
      <c r="L216" s="11">
        <v>3082568.5559999999</v>
      </c>
      <c r="M216" s="11">
        <v>1646047.473</v>
      </c>
      <c r="N216" s="13">
        <v>34340</v>
      </c>
      <c r="O216" s="13">
        <f>261+153</f>
        <v>414</v>
      </c>
      <c r="P216" s="13">
        <f>141+118</f>
        <v>259</v>
      </c>
      <c r="Q216" s="13">
        <v>123</v>
      </c>
      <c r="R216" s="23">
        <v>4.01</v>
      </c>
      <c r="S216" s="13">
        <v>60</v>
      </c>
      <c r="T216" s="23">
        <v>1.1499999999999999</v>
      </c>
      <c r="U216" s="15" t="s">
        <v>674</v>
      </c>
      <c r="V216" s="15" t="s">
        <v>675</v>
      </c>
      <c r="W216" s="24">
        <v>0.25</v>
      </c>
      <c r="X216" s="24"/>
      <c r="Y216" s="24"/>
      <c r="Z216" s="24"/>
      <c r="AA216" s="16">
        <v>246043</v>
      </c>
      <c r="AB216" s="17">
        <f t="shared" si="18"/>
        <v>260.40711282580691</v>
      </c>
      <c r="AC216" s="27">
        <f t="shared" si="15"/>
        <v>1.2560135972114139E-2</v>
      </c>
      <c r="AD216" s="19">
        <v>39075</v>
      </c>
      <c r="AE216" s="20">
        <v>2.25</v>
      </c>
      <c r="AF216" s="16">
        <v>117270000</v>
      </c>
      <c r="AG216" s="20">
        <v>0.5</v>
      </c>
      <c r="AH216" s="16">
        <v>11751000</v>
      </c>
      <c r="AI216" s="20">
        <v>0.18</v>
      </c>
      <c r="AJ216" s="7">
        <f t="shared" si="16"/>
        <v>1281589.3999999999</v>
      </c>
      <c r="AK216" s="27">
        <f t="shared" si="16"/>
        <v>5.7166076527850329E-3</v>
      </c>
    </row>
    <row r="217" spans="1:37" ht="22.5" x14ac:dyDescent="0.55000000000000004">
      <c r="A217" s="7" t="s">
        <v>676</v>
      </c>
      <c r="B217" s="25">
        <v>0.54375000000000007</v>
      </c>
      <c r="C217" s="7">
        <v>1284876.1000000001</v>
      </c>
      <c r="D217" s="27">
        <f t="shared" si="13"/>
        <v>2.5645499252726633E-3</v>
      </c>
      <c r="E217" s="7">
        <v>328663.15999999997</v>
      </c>
      <c r="F217" s="27">
        <f t="shared" si="6"/>
        <v>2.3828398929162109E-3</v>
      </c>
      <c r="G217" s="9">
        <v>51349698.147</v>
      </c>
      <c r="H217" s="9">
        <v>31840.802</v>
      </c>
      <c r="I217" s="24">
        <f t="shared" si="19"/>
        <v>31.840802</v>
      </c>
      <c r="J217" s="24">
        <f t="shared" si="20"/>
        <v>31.688170666666672</v>
      </c>
      <c r="K217" s="11">
        <v>9774929.5800000001</v>
      </c>
      <c r="L217" s="11">
        <v>3084381.9709999999</v>
      </c>
      <c r="M217" s="11">
        <v>78277.569000000003</v>
      </c>
      <c r="N217" s="13">
        <v>35540</v>
      </c>
      <c r="O217" s="13">
        <f>201+145</f>
        <v>346</v>
      </c>
      <c r="P217" s="13">
        <f>180+88</f>
        <v>268</v>
      </c>
      <c r="Q217" s="13">
        <v>98</v>
      </c>
      <c r="R217" s="23">
        <v>2.44</v>
      </c>
      <c r="S217" s="13">
        <v>71</v>
      </c>
      <c r="T217" s="23">
        <v>1.39</v>
      </c>
      <c r="U217" s="15" t="s">
        <v>677</v>
      </c>
      <c r="V217" s="15" t="s">
        <v>678</v>
      </c>
      <c r="W217" s="24">
        <v>-1.95</v>
      </c>
      <c r="X217" s="24"/>
      <c r="Y217" s="24"/>
      <c r="Z217" s="24"/>
      <c r="AA217" s="16">
        <v>247833</v>
      </c>
      <c r="AB217" s="17">
        <f t="shared" si="18"/>
        <v>259.08175948320036</v>
      </c>
      <c r="AC217" s="27">
        <f t="shared" si="15"/>
        <v>7.2751510914759177E-3</v>
      </c>
      <c r="AD217" s="19">
        <v>37093</v>
      </c>
      <c r="AE217" s="20">
        <v>-5</v>
      </c>
      <c r="AF217" s="16">
        <v>118570000</v>
      </c>
      <c r="AG217" s="20">
        <v>1.26</v>
      </c>
      <c r="AH217" s="16">
        <v>11885000</v>
      </c>
      <c r="AI217" s="20">
        <v>1.1599999999999999</v>
      </c>
      <c r="AJ217" s="7">
        <f t="shared" ref="AJ217:AK248" si="21">C217</f>
        <v>1284876.1000000001</v>
      </c>
      <c r="AK217" s="27">
        <f t="shared" si="21"/>
        <v>2.5645499252726633E-3</v>
      </c>
    </row>
    <row r="218" spans="1:37" ht="22.5" x14ac:dyDescent="0.55000000000000004">
      <c r="A218" s="7" t="s">
        <v>679</v>
      </c>
      <c r="B218" s="25">
        <v>0.56111111111111112</v>
      </c>
      <c r="C218" s="7">
        <v>1288342.45</v>
      </c>
      <c r="D218" s="27">
        <f t="shared" si="13"/>
        <v>2.697808761482845E-3</v>
      </c>
      <c r="E218" s="7">
        <v>330317.15999999997</v>
      </c>
      <c r="F218" s="27">
        <f t="shared" si="6"/>
        <v>5.0325080547513057E-3</v>
      </c>
      <c r="G218" s="9">
        <v>51484873.351999998</v>
      </c>
      <c r="H218" s="9">
        <v>34516.506999999998</v>
      </c>
      <c r="I218" s="24">
        <f t="shared" si="19"/>
        <v>34.516506999999997</v>
      </c>
      <c r="J218" s="24">
        <f t="shared" si="20"/>
        <v>32.089234777777776</v>
      </c>
      <c r="K218" s="11">
        <v>9807891.4269999992</v>
      </c>
      <c r="L218" s="11">
        <v>3100051.73</v>
      </c>
      <c r="M218" s="11">
        <v>54698.781999999999</v>
      </c>
      <c r="N218" s="13">
        <v>31600</v>
      </c>
      <c r="O218" s="13">
        <f>168+245</f>
        <v>413</v>
      </c>
      <c r="P218" s="13">
        <f>131+80</f>
        <v>211</v>
      </c>
      <c r="Q218" s="13">
        <v>109</v>
      </c>
      <c r="R218" s="23">
        <v>2.79</v>
      </c>
      <c r="S218" s="13">
        <v>51</v>
      </c>
      <c r="T218" s="23">
        <v>0.93799999999999994</v>
      </c>
      <c r="U218" s="15" t="s">
        <v>680</v>
      </c>
      <c r="V218" s="15" t="s">
        <v>681</v>
      </c>
      <c r="W218" s="24">
        <v>-0.28000000000000003</v>
      </c>
      <c r="X218" s="24"/>
      <c r="Y218" s="24"/>
      <c r="Z218" s="24"/>
      <c r="AA218" s="16">
        <v>247316</v>
      </c>
      <c r="AB218" s="17">
        <f t="shared" si="18"/>
        <v>260.36656143961568</v>
      </c>
      <c r="AC218" s="27">
        <f t="shared" si="15"/>
        <v>-2.0860821601642598E-3</v>
      </c>
      <c r="AD218" s="19">
        <v>38848</v>
      </c>
      <c r="AE218" s="20">
        <v>4.5</v>
      </c>
      <c r="AF218" s="16">
        <v>118410000</v>
      </c>
      <c r="AG218" s="20">
        <v>0.12</v>
      </c>
      <c r="AH218" s="16">
        <v>11880000</v>
      </c>
      <c r="AI218" s="20">
        <v>-0.04</v>
      </c>
      <c r="AJ218" s="7">
        <f t="shared" si="21"/>
        <v>1288342.45</v>
      </c>
      <c r="AK218" s="27">
        <f t="shared" si="21"/>
        <v>2.697808761482845E-3</v>
      </c>
    </row>
    <row r="219" spans="1:37" ht="22.5" x14ac:dyDescent="0.55000000000000004">
      <c r="A219" s="7" t="s">
        <v>682</v>
      </c>
      <c r="B219" s="25">
        <v>0.5625</v>
      </c>
      <c r="C219" s="7">
        <v>1282796.08</v>
      </c>
      <c r="D219" s="27">
        <f t="shared" si="13"/>
        <v>-4.3050432747907541E-3</v>
      </c>
      <c r="E219" s="7">
        <v>329509.23</v>
      </c>
      <c r="F219" s="27">
        <f t="shared" si="6"/>
        <v>-2.4459219738992566E-3</v>
      </c>
      <c r="G219" s="9">
        <v>51267358.244000003</v>
      </c>
      <c r="H219" s="9">
        <v>29704.288</v>
      </c>
      <c r="I219" s="24">
        <f t="shared" si="19"/>
        <v>29.704288000000002</v>
      </c>
      <c r="J219" s="24">
        <f t="shared" si="20"/>
        <v>30.778264555555552</v>
      </c>
      <c r="K219" s="11">
        <v>9833713.5179999992</v>
      </c>
      <c r="L219" s="11">
        <v>3109882.5789999999</v>
      </c>
      <c r="M219" s="11">
        <v>63682.298999999999</v>
      </c>
      <c r="N219" s="13">
        <v>28370</v>
      </c>
      <c r="O219" s="13">
        <f>133+140</f>
        <v>273</v>
      </c>
      <c r="P219" s="13">
        <f>237+100</f>
        <v>337</v>
      </c>
      <c r="Q219" s="13">
        <v>81</v>
      </c>
      <c r="R219" s="23">
        <v>1.94</v>
      </c>
      <c r="S219" s="13">
        <v>93</v>
      </c>
      <c r="T219" s="23">
        <v>1.83</v>
      </c>
      <c r="U219" s="15" t="s">
        <v>683</v>
      </c>
      <c r="V219" s="15" t="s">
        <v>684</v>
      </c>
      <c r="W219" s="24">
        <v>-2.4</v>
      </c>
      <c r="X219" s="24"/>
      <c r="Y219" s="24"/>
      <c r="Z219" s="24"/>
      <c r="AA219" s="16">
        <v>246778</v>
      </c>
      <c r="AB219" s="17">
        <f t="shared" si="18"/>
        <v>260.19723938519644</v>
      </c>
      <c r="AC219" s="27">
        <f t="shared" si="15"/>
        <v>-2.1753546070614194E-3</v>
      </c>
      <c r="AD219" s="19">
        <v>38831</v>
      </c>
      <c r="AE219" s="20">
        <v>1.3</v>
      </c>
      <c r="AF219" s="16">
        <v>118980000</v>
      </c>
      <c r="AG219" s="20">
        <v>-2.2799999999999998</v>
      </c>
      <c r="AH219" s="16">
        <v>11973000</v>
      </c>
      <c r="AI219" s="20">
        <v>-2.74</v>
      </c>
      <c r="AJ219" s="7">
        <f t="shared" si="21"/>
        <v>1282796.08</v>
      </c>
      <c r="AK219" s="27">
        <f t="shared" si="21"/>
        <v>-4.3050432747907541E-3</v>
      </c>
    </row>
    <row r="220" spans="1:37" ht="22.5" x14ac:dyDescent="0.55000000000000004">
      <c r="A220" s="7" t="s">
        <v>685</v>
      </c>
      <c r="B220" s="25">
        <v>0.54027777777777775</v>
      </c>
      <c r="C220" s="7">
        <v>1279297.6599999999</v>
      </c>
      <c r="D220" s="27">
        <f t="shared" si="13"/>
        <v>-2.727183263609767E-3</v>
      </c>
      <c r="E220" s="7">
        <v>330792.08</v>
      </c>
      <c r="F220" s="27">
        <f t="shared" si="6"/>
        <v>3.8932141597369796E-3</v>
      </c>
      <c r="G220" s="9">
        <v>51157108.274999999</v>
      </c>
      <c r="H220" s="9">
        <v>26181.94</v>
      </c>
      <c r="I220" s="24">
        <f t="shared" si="19"/>
        <v>26.181939999999997</v>
      </c>
      <c r="J220" s="24">
        <f t="shared" si="20"/>
        <v>30.601739111111108</v>
      </c>
      <c r="K220" s="11">
        <v>9838285.1390000004</v>
      </c>
      <c r="L220" s="11">
        <v>3108296.531</v>
      </c>
      <c r="M220" s="11">
        <v>59108.832999999999</v>
      </c>
      <c r="N220" s="13">
        <v>23150</v>
      </c>
      <c r="O220" s="13">
        <f>215+144</f>
        <v>359</v>
      </c>
      <c r="P220" s="13">
        <f>155+91</f>
        <v>246</v>
      </c>
      <c r="Q220" s="13">
        <v>111</v>
      </c>
      <c r="R220" s="23">
        <v>2.6</v>
      </c>
      <c r="S220" s="13">
        <v>58</v>
      </c>
      <c r="T220" s="23">
        <v>0.93</v>
      </c>
      <c r="U220" s="15" t="s">
        <v>686</v>
      </c>
      <c r="V220" s="15" t="s">
        <v>687</v>
      </c>
      <c r="W220" s="24">
        <v>-0.97399999999999998</v>
      </c>
      <c r="X220" s="24"/>
      <c r="Y220" s="24"/>
      <c r="Z220" s="24"/>
      <c r="AA220" s="16">
        <v>246560</v>
      </c>
      <c r="AB220" s="17">
        <f t="shared" si="18"/>
        <v>259.99225318380923</v>
      </c>
      <c r="AC220" s="27">
        <f t="shared" si="15"/>
        <v>-8.8338506674012773E-4</v>
      </c>
      <c r="AD220" s="19">
        <v>38849</v>
      </c>
      <c r="AE220" s="20">
        <v>0.05</v>
      </c>
      <c r="AF220" s="16">
        <v>119520000</v>
      </c>
      <c r="AG220" s="20">
        <v>-0.28999999999999998</v>
      </c>
      <c r="AH220" s="16">
        <v>120010000</v>
      </c>
      <c r="AI220" s="20">
        <v>-0.4</v>
      </c>
      <c r="AJ220" s="7">
        <f t="shared" si="21"/>
        <v>1279297.6599999999</v>
      </c>
      <c r="AK220" s="27">
        <f t="shared" si="21"/>
        <v>-2.727183263609767E-3</v>
      </c>
    </row>
    <row r="221" spans="1:37" ht="22.5" x14ac:dyDescent="0.55000000000000004">
      <c r="A221" s="7" t="s">
        <v>688</v>
      </c>
      <c r="B221" s="25">
        <v>0.53819444444444442</v>
      </c>
      <c r="C221" s="7">
        <v>1281872.71</v>
      </c>
      <c r="D221" s="27">
        <f t="shared" si="13"/>
        <v>2.0128622763213588E-3</v>
      </c>
      <c r="E221" s="7">
        <v>333950.46000000002</v>
      </c>
      <c r="F221" s="27">
        <f t="shared" si="6"/>
        <v>9.5479311354733643E-3</v>
      </c>
      <c r="G221" s="9">
        <v>51262774.347999997</v>
      </c>
      <c r="H221" s="9">
        <v>23640.651000000002</v>
      </c>
      <c r="I221" s="24">
        <f t="shared" si="19"/>
        <v>23.640651000000002</v>
      </c>
      <c r="J221" s="24">
        <f t="shared" si="20"/>
        <v>28.999765555555555</v>
      </c>
      <c r="K221" s="11">
        <v>9855804.1390000004</v>
      </c>
      <c r="L221" s="11">
        <v>3109518.7930000001</v>
      </c>
      <c r="M221" s="11">
        <v>1683184.665</v>
      </c>
      <c r="N221" s="13">
        <v>25530</v>
      </c>
      <c r="O221" s="13">
        <f>263+176</f>
        <v>439</v>
      </c>
      <c r="P221" s="13">
        <f>110+131</f>
        <v>241</v>
      </c>
      <c r="Q221" s="13">
        <v>131</v>
      </c>
      <c r="R221" s="23">
        <v>3.07</v>
      </c>
      <c r="S221" s="13">
        <v>37</v>
      </c>
      <c r="T221" s="23">
        <v>0.92</v>
      </c>
      <c r="U221" s="15" t="s">
        <v>689</v>
      </c>
      <c r="V221" s="15" t="s">
        <v>690</v>
      </c>
      <c r="W221" s="24">
        <v>-0.36</v>
      </c>
      <c r="X221" s="24"/>
      <c r="Y221" s="24"/>
      <c r="Z221" s="24"/>
      <c r="AA221" s="16">
        <v>246860</v>
      </c>
      <c r="AB221" s="17">
        <f t="shared" si="18"/>
        <v>260.18025309892249</v>
      </c>
      <c r="AC221" s="27">
        <f t="shared" si="15"/>
        <v>1.2167423750810702E-3</v>
      </c>
      <c r="AD221" s="19">
        <v>38391</v>
      </c>
      <c r="AE221" s="20">
        <v>-1.49</v>
      </c>
      <c r="AF221" s="16">
        <v>120180000</v>
      </c>
      <c r="AG221" s="20">
        <v>0.13</v>
      </c>
      <c r="AH221" s="16">
        <v>12033000</v>
      </c>
      <c r="AI221" s="20">
        <v>0.1</v>
      </c>
      <c r="AJ221" s="7">
        <f t="shared" si="21"/>
        <v>1281872.71</v>
      </c>
      <c r="AK221" s="27">
        <f t="shared" si="21"/>
        <v>2.0128622763213588E-3</v>
      </c>
    </row>
    <row r="222" spans="1:37" ht="22.5" x14ac:dyDescent="0.55000000000000004">
      <c r="A222" s="7" t="s">
        <v>691</v>
      </c>
      <c r="B222" s="25">
        <v>0.54375000000000007</v>
      </c>
      <c r="C222" s="7">
        <v>1281152.79</v>
      </c>
      <c r="D222" s="27">
        <f t="shared" si="13"/>
        <v>-5.6161582533409415E-4</v>
      </c>
      <c r="E222" s="7">
        <v>334156.40000000002</v>
      </c>
      <c r="F222" s="27">
        <f t="shared" si="6"/>
        <v>6.1667829413969422E-4</v>
      </c>
      <c r="G222" s="9">
        <v>51239753.943999998</v>
      </c>
      <c r="H222" s="9">
        <v>33839.832999999999</v>
      </c>
      <c r="I222" s="24">
        <f t="shared" si="19"/>
        <v>33.839832999999999</v>
      </c>
      <c r="J222" s="24">
        <f t="shared" si="20"/>
        <v>30.029342666666665</v>
      </c>
      <c r="K222" s="11">
        <v>9837805.9649999999</v>
      </c>
      <c r="L222" s="11">
        <v>3101685.61</v>
      </c>
      <c r="M222" s="11">
        <v>27092.288</v>
      </c>
      <c r="N222" s="13">
        <v>23560</v>
      </c>
      <c r="O222" s="13">
        <f>149+111</f>
        <v>260</v>
      </c>
      <c r="P222" s="13">
        <f>118+220</f>
        <v>338</v>
      </c>
      <c r="Q222" s="13">
        <v>73</v>
      </c>
      <c r="R222" s="23">
        <v>1.77</v>
      </c>
      <c r="S222" s="13">
        <v>73</v>
      </c>
      <c r="T222" s="23">
        <v>1.32</v>
      </c>
      <c r="U222" s="15" t="s">
        <v>692</v>
      </c>
      <c r="V222" s="15" t="s">
        <v>693</v>
      </c>
      <c r="W222" s="24">
        <v>-1.54</v>
      </c>
      <c r="X222" s="24"/>
      <c r="Y222" s="24"/>
      <c r="Z222" s="24"/>
      <c r="AA222" s="16">
        <v>246075</v>
      </c>
      <c r="AB222" s="17">
        <f t="shared" si="18"/>
        <v>260.81172617697854</v>
      </c>
      <c r="AC222" s="27">
        <f t="shared" si="15"/>
        <v>-3.1799400469901817E-3</v>
      </c>
      <c r="AD222" s="19">
        <v>43905</v>
      </c>
      <c r="AE222" s="20">
        <v>1.53</v>
      </c>
      <c r="AF222" s="16">
        <v>120520000</v>
      </c>
      <c r="AG222" s="20">
        <v>0.19</v>
      </c>
      <c r="AH222" s="16">
        <v>12079000</v>
      </c>
      <c r="AI222" s="20">
        <v>0.31</v>
      </c>
      <c r="AJ222" s="7">
        <f t="shared" si="21"/>
        <v>1281152.79</v>
      </c>
      <c r="AK222" s="27">
        <f t="shared" si="21"/>
        <v>-5.6161582533409415E-4</v>
      </c>
    </row>
    <row r="223" spans="1:37" ht="22.5" x14ac:dyDescent="0.55000000000000004">
      <c r="A223" s="7" t="s">
        <v>694</v>
      </c>
      <c r="B223" s="25"/>
      <c r="C223" s="7">
        <v>1298782.72</v>
      </c>
      <c r="D223" s="27">
        <f t="shared" si="13"/>
        <v>1.3760989428903248E-2</v>
      </c>
      <c r="E223" s="7">
        <v>335803.56</v>
      </c>
      <c r="F223" s="27">
        <f t="shared" si="6"/>
        <v>4.9293085513248958E-3</v>
      </c>
      <c r="G223" s="9">
        <v>51936860.678999998</v>
      </c>
      <c r="H223" s="9">
        <v>44886.389000000003</v>
      </c>
      <c r="I223" s="24">
        <f t="shared" si="19"/>
        <v>44.886389000000001</v>
      </c>
      <c r="J223" s="24">
        <f t="shared" si="20"/>
        <v>31.850062777777776</v>
      </c>
      <c r="K223" s="11">
        <v>9863932.8719999995</v>
      </c>
      <c r="L223" s="11">
        <v>3110495.1740000001</v>
      </c>
      <c r="M223" s="11">
        <v>26747.541000000001</v>
      </c>
      <c r="N223" s="13">
        <v>41710</v>
      </c>
      <c r="O223" s="13">
        <f>220+149</f>
        <v>369</v>
      </c>
      <c r="P223" s="13">
        <f>99+157</f>
        <v>256</v>
      </c>
      <c r="Q223" s="13">
        <v>111</v>
      </c>
      <c r="R223" s="23">
        <v>3.3</v>
      </c>
      <c r="S223" s="13">
        <v>67</v>
      </c>
      <c r="T223" s="23">
        <v>1.58</v>
      </c>
      <c r="U223" s="15"/>
      <c r="V223" s="15"/>
      <c r="W223" s="24">
        <v>0.23</v>
      </c>
      <c r="X223" s="24"/>
      <c r="Y223" s="24"/>
      <c r="Z223" s="24"/>
      <c r="AA223" s="16">
        <v>244552</v>
      </c>
      <c r="AB223" s="17">
        <f t="shared" si="18"/>
        <v>265.42939221515257</v>
      </c>
      <c r="AC223" s="27">
        <f t="shared" si="15"/>
        <v>-6.1891699685054924E-3</v>
      </c>
      <c r="AD223" s="19"/>
      <c r="AE223" s="20"/>
      <c r="AF223" s="16"/>
      <c r="AG223" s="20"/>
      <c r="AH223" s="16"/>
      <c r="AI223" s="20"/>
      <c r="AJ223" s="7">
        <f t="shared" si="21"/>
        <v>1298782.72</v>
      </c>
      <c r="AK223" s="27">
        <f t="shared" si="21"/>
        <v>1.3760989428903248E-2</v>
      </c>
    </row>
    <row r="224" spans="1:37" ht="22.5" x14ac:dyDescent="0.55000000000000004">
      <c r="A224" s="7" t="s">
        <v>695</v>
      </c>
      <c r="B224" s="25">
        <v>0.5625</v>
      </c>
      <c r="C224" s="7">
        <v>1322617.68</v>
      </c>
      <c r="D224" s="27">
        <f t="shared" si="13"/>
        <v>1.835176864687571E-2</v>
      </c>
      <c r="E224" s="7">
        <v>338669.38</v>
      </c>
      <c r="F224" s="27">
        <f t="shared" si="6"/>
        <v>8.5342156587024931E-3</v>
      </c>
      <c r="G224" s="9">
        <v>52865555.395000003</v>
      </c>
      <c r="H224" s="9">
        <v>51269.930999999997</v>
      </c>
      <c r="I224" s="24">
        <f t="shared" si="19"/>
        <v>51.269931</v>
      </c>
      <c r="J224" s="24">
        <f t="shared" si="20"/>
        <v>34.586112333333325</v>
      </c>
      <c r="K224" s="11">
        <v>9921776.0869999994</v>
      </c>
      <c r="L224" s="11">
        <v>3119234.4619999998</v>
      </c>
      <c r="M224" s="11">
        <v>26724.918000000001</v>
      </c>
      <c r="N224" s="13">
        <v>51310</v>
      </c>
      <c r="O224" s="13">
        <f>286+155</f>
        <v>441</v>
      </c>
      <c r="P224" s="13">
        <f>90+108</f>
        <v>198</v>
      </c>
      <c r="Q224" s="13">
        <v>150</v>
      </c>
      <c r="R224" s="23">
        <v>5.18</v>
      </c>
      <c r="S224" s="13">
        <v>58</v>
      </c>
      <c r="T224" s="23">
        <v>1.5</v>
      </c>
      <c r="U224" s="15" t="s">
        <v>696</v>
      </c>
      <c r="V224" s="15" t="s">
        <v>697</v>
      </c>
      <c r="W224" s="24">
        <v>3.01</v>
      </c>
      <c r="X224" s="24"/>
      <c r="Y224" s="24"/>
      <c r="Z224" s="24"/>
      <c r="AA224" s="16">
        <v>243219</v>
      </c>
      <c r="AB224" s="17">
        <f t="shared" si="18"/>
        <v>270.97622284443241</v>
      </c>
      <c r="AC224" s="27">
        <f t="shared" si="15"/>
        <v>-5.4507834734535132E-3</v>
      </c>
      <c r="AD224" s="19">
        <v>38882</v>
      </c>
      <c r="AE224" s="20">
        <v>-0.48</v>
      </c>
      <c r="AF224" s="16">
        <v>118660000</v>
      </c>
      <c r="AG224" s="20">
        <v>-0.35</v>
      </c>
      <c r="AH224" s="16">
        <v>11931000</v>
      </c>
      <c r="AI224" s="20">
        <v>-0.57999999999999996</v>
      </c>
      <c r="AJ224" s="7">
        <f t="shared" si="21"/>
        <v>1322617.68</v>
      </c>
      <c r="AK224" s="27">
        <f t="shared" si="21"/>
        <v>1.835176864687571E-2</v>
      </c>
    </row>
    <row r="225" spans="1:37" ht="22.5" x14ac:dyDescent="0.55000000000000004">
      <c r="A225" s="7" t="s">
        <v>698</v>
      </c>
      <c r="B225" s="25">
        <v>0.5493055555555556</v>
      </c>
      <c r="C225" s="7">
        <v>1342925.8</v>
      </c>
      <c r="D225" s="27">
        <f t="shared" si="13"/>
        <v>1.5354490044318769E-2</v>
      </c>
      <c r="E225" s="7">
        <v>341520.96</v>
      </c>
      <c r="F225" s="27">
        <f t="shared" si="6"/>
        <v>8.4199522259733595E-3</v>
      </c>
      <c r="G225" s="9">
        <v>53677147</v>
      </c>
      <c r="H225" s="9">
        <v>65681.369000000006</v>
      </c>
      <c r="I225" s="24">
        <f t="shared" si="19"/>
        <v>65.681369000000004</v>
      </c>
      <c r="J225" s="24">
        <f t="shared" si="20"/>
        <v>37.951301111111114</v>
      </c>
      <c r="K225" s="11">
        <v>10092877.311000001</v>
      </c>
      <c r="L225" s="11">
        <v>3134983.0440000002</v>
      </c>
      <c r="M225" s="11">
        <v>1691553.736</v>
      </c>
      <c r="N225" s="13">
        <v>57810</v>
      </c>
      <c r="O225" s="13">
        <f>231+140</f>
        <v>371</v>
      </c>
      <c r="P225" s="13">
        <f>153+143</f>
        <v>296</v>
      </c>
      <c r="Q225" s="13">
        <v>82</v>
      </c>
      <c r="R225" s="23">
        <v>3.07</v>
      </c>
      <c r="S225" s="13">
        <v>62</v>
      </c>
      <c r="T225" s="23">
        <v>1.43</v>
      </c>
      <c r="U225" s="15" t="s">
        <v>699</v>
      </c>
      <c r="V225" s="15" t="s">
        <v>700</v>
      </c>
      <c r="W225" s="24">
        <v>2.71</v>
      </c>
      <c r="X225" s="24"/>
      <c r="Y225" s="24"/>
      <c r="Z225" s="24"/>
      <c r="AA225" s="16">
        <v>244460</v>
      </c>
      <c r="AB225" s="17">
        <f t="shared" si="18"/>
        <v>273.6848865049497</v>
      </c>
      <c r="AC225" s="27">
        <f t="shared" si="15"/>
        <v>5.1023974278325834E-3</v>
      </c>
      <c r="AD225" s="19">
        <v>38212</v>
      </c>
      <c r="AE225" s="20">
        <v>-1.86</v>
      </c>
      <c r="AF225" s="16">
        <v>119880000</v>
      </c>
      <c r="AG225" s="20">
        <v>1.06</v>
      </c>
      <c r="AH225" s="16">
        <v>12072000</v>
      </c>
      <c r="AI225" s="20">
        <v>0.89</v>
      </c>
      <c r="AJ225" s="7">
        <f t="shared" si="21"/>
        <v>1342925.8</v>
      </c>
      <c r="AK225" s="27">
        <f t="shared" si="21"/>
        <v>1.5354490044318769E-2</v>
      </c>
    </row>
    <row r="226" spans="1:37" ht="22.5" x14ac:dyDescent="0.55000000000000004">
      <c r="A226" s="7" t="s">
        <v>701</v>
      </c>
      <c r="B226" s="25">
        <v>0.57361111111111118</v>
      </c>
      <c r="C226" s="7">
        <v>1336642.78</v>
      </c>
      <c r="D226" s="27">
        <f t="shared" si="13"/>
        <v>-4.6786054747031125E-3</v>
      </c>
      <c r="E226" s="7">
        <v>340343.72</v>
      </c>
      <c r="F226" s="27">
        <f t="shared" si="6"/>
        <v>-3.4470505119218453E-3</v>
      </c>
      <c r="G226" s="9">
        <v>53422418.892999999</v>
      </c>
      <c r="H226" s="9">
        <v>42460.133000000002</v>
      </c>
      <c r="I226" s="24">
        <f t="shared" si="19"/>
        <v>42.460132999999999</v>
      </c>
      <c r="J226" s="24">
        <f t="shared" si="20"/>
        <v>39.131226777777776</v>
      </c>
      <c r="K226" s="11">
        <v>10119269.26</v>
      </c>
      <c r="L226" s="11">
        <v>3135361.6680000001</v>
      </c>
      <c r="M226" s="11">
        <v>23552.413</v>
      </c>
      <c r="N226" s="13">
        <v>40320</v>
      </c>
      <c r="O226" s="13">
        <f>153+80</f>
        <v>233</v>
      </c>
      <c r="P226" s="13">
        <f>225+152</f>
        <v>377</v>
      </c>
      <c r="Q226" s="13">
        <v>90</v>
      </c>
      <c r="R226" s="23">
        <v>2.6</v>
      </c>
      <c r="S226" s="13">
        <v>67</v>
      </c>
      <c r="T226" s="23">
        <v>1.4</v>
      </c>
      <c r="U226" s="15" t="s">
        <v>702</v>
      </c>
      <c r="V226" s="15" t="s">
        <v>703</v>
      </c>
      <c r="W226" s="24">
        <v>-3.2</v>
      </c>
      <c r="X226" s="24"/>
      <c r="Y226" s="24"/>
      <c r="Z226" s="24"/>
      <c r="AA226" s="16">
        <v>245714</v>
      </c>
      <c r="AB226" s="17">
        <f t="shared" si="18"/>
        <v>271.3604020161651</v>
      </c>
      <c r="AC226" s="27">
        <f t="shared" si="15"/>
        <v>5.1296735662276216E-3</v>
      </c>
      <c r="AD226" s="19">
        <v>38850</v>
      </c>
      <c r="AE226" s="20">
        <v>1.8</v>
      </c>
      <c r="AF226" s="16">
        <v>121890000</v>
      </c>
      <c r="AG226" s="20">
        <v>1.39</v>
      </c>
      <c r="AH226" s="16">
        <v>12372000</v>
      </c>
      <c r="AI226" s="20">
        <v>2.37</v>
      </c>
      <c r="AJ226" s="7">
        <f t="shared" si="21"/>
        <v>1336642.78</v>
      </c>
      <c r="AK226" s="27">
        <f t="shared" si="21"/>
        <v>-4.6786054747031125E-3</v>
      </c>
    </row>
    <row r="227" spans="1:37" ht="22.5" x14ac:dyDescent="0.55000000000000004">
      <c r="A227" s="7" t="s">
        <v>704</v>
      </c>
      <c r="B227" s="25">
        <v>0.55555555555555558</v>
      </c>
      <c r="C227" s="7">
        <v>1348347.47</v>
      </c>
      <c r="D227" s="27">
        <f t="shared" si="13"/>
        <v>8.7567824217027468E-3</v>
      </c>
      <c r="E227" s="7">
        <v>342690.79</v>
      </c>
      <c r="F227" s="27">
        <f t="shared" si="6"/>
        <v>6.8961754311200885E-3</v>
      </c>
      <c r="G227" s="9">
        <v>53895377.421999998</v>
      </c>
      <c r="H227" s="9">
        <v>44301.347999999998</v>
      </c>
      <c r="I227" s="24">
        <f t="shared" si="19"/>
        <v>44.301347999999997</v>
      </c>
      <c r="J227" s="24">
        <f t="shared" si="20"/>
        <v>40.218431333333335</v>
      </c>
      <c r="K227" s="11">
        <v>10187351.596000001</v>
      </c>
      <c r="L227" s="11">
        <v>3140716.5809999998</v>
      </c>
      <c r="M227" s="11">
        <v>30270.003000000001</v>
      </c>
      <c r="N227" s="13">
        <v>44710</v>
      </c>
      <c r="O227" s="13">
        <f>236+124</f>
        <v>360</v>
      </c>
      <c r="P227" s="13">
        <f>136+117</f>
        <v>253</v>
      </c>
      <c r="Q227" s="13">
        <v>98</v>
      </c>
      <c r="R227" s="23">
        <v>2.6</v>
      </c>
      <c r="S227" s="13">
        <v>39</v>
      </c>
      <c r="T227" s="23">
        <v>0.79</v>
      </c>
      <c r="U227" s="15" t="s">
        <v>705</v>
      </c>
      <c r="V227" s="15" t="s">
        <v>706</v>
      </c>
      <c r="W227" s="24">
        <v>-0.11</v>
      </c>
      <c r="X227" s="24"/>
      <c r="Y227" s="24"/>
      <c r="Z227" s="24"/>
      <c r="AA227" s="16">
        <v>244742</v>
      </c>
      <c r="AB227" s="17">
        <f t="shared" si="18"/>
        <v>274.67065562510726</v>
      </c>
      <c r="AC227" s="27">
        <f t="shared" si="15"/>
        <v>-3.9558185532774237E-3</v>
      </c>
      <c r="AD227" s="19">
        <v>42129</v>
      </c>
      <c r="AE227" s="20">
        <v>8.25</v>
      </c>
      <c r="AF227" s="16">
        <v>122860000</v>
      </c>
      <c r="AG227" s="20">
        <v>-0.34</v>
      </c>
      <c r="AH227" s="16">
        <v>12287000</v>
      </c>
      <c r="AI227" s="20">
        <v>-1.57</v>
      </c>
      <c r="AJ227" s="7">
        <f t="shared" si="21"/>
        <v>1348347.47</v>
      </c>
      <c r="AK227" s="27">
        <f t="shared" si="21"/>
        <v>8.7567824217027468E-3</v>
      </c>
    </row>
    <row r="228" spans="1:37" ht="22.5" x14ac:dyDescent="0.55000000000000004">
      <c r="A228" s="7" t="s">
        <v>707</v>
      </c>
      <c r="B228" s="25">
        <v>0.56944444444444442</v>
      </c>
      <c r="C228" s="7">
        <v>1332943.32</v>
      </c>
      <c r="D228" s="27">
        <f t="shared" si="13"/>
        <v>-1.1424466128156063E-2</v>
      </c>
      <c r="E228" s="7">
        <v>339100.96</v>
      </c>
      <c r="F228" s="27">
        <f t="shared" si="6"/>
        <v>-1.047542013019942E-2</v>
      </c>
      <c r="G228" s="9">
        <v>53266792.192000002</v>
      </c>
      <c r="H228" s="9">
        <v>51593.186000000002</v>
      </c>
      <c r="I228" s="24">
        <f t="shared" si="19"/>
        <v>51.593186000000003</v>
      </c>
      <c r="J228" s="24">
        <f t="shared" si="20"/>
        <v>42.650531111111114</v>
      </c>
      <c r="K228" s="11">
        <v>10138758.479</v>
      </c>
      <c r="L228" s="11">
        <v>3140643.628</v>
      </c>
      <c r="M228" s="11">
        <v>23033.687999999998</v>
      </c>
      <c r="N228" s="13">
        <v>40490</v>
      </c>
      <c r="O228" s="13">
        <f>108+69</f>
        <v>177</v>
      </c>
      <c r="P228" s="13">
        <f>174+269</f>
        <v>443</v>
      </c>
      <c r="Q228" s="13">
        <v>73</v>
      </c>
      <c r="R228" s="23">
        <v>1.93</v>
      </c>
      <c r="S228" s="13">
        <v>112</v>
      </c>
      <c r="T228" s="23">
        <v>1.8</v>
      </c>
      <c r="U228" s="15" t="s">
        <v>708</v>
      </c>
      <c r="V228" s="15" t="s">
        <v>709</v>
      </c>
      <c r="W228" s="24">
        <v>-7.14</v>
      </c>
      <c r="X228" s="24"/>
      <c r="Y228" s="24"/>
      <c r="Z228" s="24"/>
      <c r="AA228" s="16">
        <v>245948</v>
      </c>
      <c r="AB228" s="17">
        <f t="shared" si="18"/>
        <v>270.57017865158491</v>
      </c>
      <c r="AC228" s="27">
        <f t="shared" si="15"/>
        <v>4.9276380841865031E-3</v>
      </c>
      <c r="AD228" s="19">
        <v>39161</v>
      </c>
      <c r="AE228" s="20">
        <v>0.32</v>
      </c>
      <c r="AF228" s="16">
        <v>123310000</v>
      </c>
      <c r="AG228" s="20">
        <v>0.98</v>
      </c>
      <c r="AH228" s="16">
        <v>12257000</v>
      </c>
      <c r="AI228" s="20">
        <v>0.65</v>
      </c>
      <c r="AJ228" s="7">
        <f t="shared" si="21"/>
        <v>1332943.32</v>
      </c>
      <c r="AK228" s="27">
        <f t="shared" si="21"/>
        <v>-1.1424466128156063E-2</v>
      </c>
    </row>
    <row r="229" spans="1:37" ht="22.5" x14ac:dyDescent="0.55000000000000004">
      <c r="A229" s="7" t="s">
        <v>710</v>
      </c>
      <c r="B229" s="25">
        <v>0.54513888888888895</v>
      </c>
      <c r="C229" s="7">
        <v>1335312.8700000001</v>
      </c>
      <c r="D229" s="27">
        <f t="shared" si="13"/>
        <v>1.7776824899051746E-3</v>
      </c>
      <c r="E229" s="7">
        <v>338735</v>
      </c>
      <c r="F229" s="27">
        <f t="shared" si="6"/>
        <v>-1.079206617403905E-3</v>
      </c>
      <c r="G229" s="9">
        <v>53358717.223999999</v>
      </c>
      <c r="H229" s="9">
        <v>37526.078999999998</v>
      </c>
      <c r="I229" s="24">
        <f t="shared" si="19"/>
        <v>37.526078999999996</v>
      </c>
      <c r="J229" s="24">
        <f t="shared" si="20"/>
        <v>43.910990999999996</v>
      </c>
      <c r="K229" s="11">
        <v>10122879.255999999</v>
      </c>
      <c r="L229" s="11">
        <v>3138832.2220000001</v>
      </c>
      <c r="M229" s="11">
        <v>24478.687999999998</v>
      </c>
      <c r="N229" s="13">
        <v>30140</v>
      </c>
      <c r="O229" s="13">
        <f>151+117</f>
        <v>268</v>
      </c>
      <c r="P229" s="13">
        <f>125+214</f>
        <v>339</v>
      </c>
      <c r="Q229" s="13">
        <v>80</v>
      </c>
      <c r="R229" s="23">
        <v>2.12</v>
      </c>
      <c r="S229" s="13">
        <v>67</v>
      </c>
      <c r="T229" s="23">
        <v>1.1599999999999999</v>
      </c>
      <c r="U229" s="15" t="s">
        <v>711</v>
      </c>
      <c r="V229" s="15" t="s">
        <v>712</v>
      </c>
      <c r="W229" s="24">
        <v>-2.17</v>
      </c>
      <c r="X229" s="24"/>
      <c r="Y229" s="24"/>
      <c r="Z229" s="24"/>
      <c r="AA229" s="16">
        <v>247691</v>
      </c>
      <c r="AB229" s="17">
        <f t="shared" si="18"/>
        <v>268.96588370994505</v>
      </c>
      <c r="AC229" s="27">
        <f t="shared" si="15"/>
        <v>7.0868638899279635E-3</v>
      </c>
      <c r="AD229" s="19">
        <v>39073</v>
      </c>
      <c r="AE229" s="20">
        <v>-0.25</v>
      </c>
      <c r="AF229" s="16">
        <v>125210000</v>
      </c>
      <c r="AG229" s="20">
        <v>1.5</v>
      </c>
      <c r="AH229" s="16">
        <v>123888000</v>
      </c>
      <c r="AI229" s="20">
        <v>1.17</v>
      </c>
      <c r="AJ229" s="7">
        <f t="shared" si="21"/>
        <v>1335312.8700000001</v>
      </c>
      <c r="AK229" s="27">
        <f t="shared" si="21"/>
        <v>1.7776824899051746E-3</v>
      </c>
    </row>
    <row r="230" spans="1:37" ht="22.5" x14ac:dyDescent="0.55000000000000004">
      <c r="A230" s="7" t="s">
        <v>713</v>
      </c>
      <c r="B230" s="25">
        <v>0.57291666666666663</v>
      </c>
      <c r="C230" s="7">
        <v>1334781.22</v>
      </c>
      <c r="D230" s="27">
        <f t="shared" si="13"/>
        <v>-3.9814639096535931E-4</v>
      </c>
      <c r="E230" s="7">
        <v>338954.23</v>
      </c>
      <c r="F230" s="27">
        <f t="shared" si="6"/>
        <v>6.4720209012936181E-4</v>
      </c>
      <c r="G230" s="9">
        <v>53332385.479000002</v>
      </c>
      <c r="H230" s="9">
        <v>37315.896999999997</v>
      </c>
      <c r="I230" s="24">
        <f t="shared" si="19"/>
        <v>37.315897</v>
      </c>
      <c r="J230" s="24">
        <f t="shared" si="20"/>
        <v>45.430462777777777</v>
      </c>
      <c r="K230" s="11">
        <v>10115703.958000001</v>
      </c>
      <c r="L230" s="11">
        <v>3153809.3820000002</v>
      </c>
      <c r="M230" s="11">
        <v>1805167.6710000001</v>
      </c>
      <c r="N230" s="13">
        <v>27190</v>
      </c>
      <c r="O230" s="13">
        <f>165+133</f>
        <v>298</v>
      </c>
      <c r="P230" s="13">
        <f>201+169</f>
        <v>370</v>
      </c>
      <c r="Q230" s="13">
        <v>85</v>
      </c>
      <c r="R230" s="23">
        <v>1.8</v>
      </c>
      <c r="S230" s="13">
        <v>58</v>
      </c>
      <c r="T230" s="23">
        <v>1.2</v>
      </c>
      <c r="U230" s="15" t="s">
        <v>714</v>
      </c>
      <c r="V230" s="15" t="s">
        <v>715</v>
      </c>
      <c r="W230" s="24">
        <v>-3.43</v>
      </c>
      <c r="X230" s="24"/>
      <c r="Y230" s="24"/>
      <c r="Z230" s="24"/>
      <c r="AA230" s="16">
        <v>244086</v>
      </c>
      <c r="AB230" s="17">
        <f t="shared" si="18"/>
        <v>272.86242889391445</v>
      </c>
      <c r="AC230" s="27">
        <f t="shared" si="15"/>
        <v>-1.4554424666217147E-2</v>
      </c>
      <c r="AD230" s="19">
        <v>39111</v>
      </c>
      <c r="AE230" s="20">
        <v>0.25</v>
      </c>
      <c r="AF230" s="16">
        <v>124460000</v>
      </c>
      <c r="AG230" s="20">
        <v>-0.45</v>
      </c>
      <c r="AH230" s="16">
        <v>12305000</v>
      </c>
      <c r="AI230" s="20">
        <v>-0.64</v>
      </c>
      <c r="AJ230" s="7">
        <f t="shared" si="21"/>
        <v>1334781.22</v>
      </c>
      <c r="AK230" s="27">
        <f t="shared" si="21"/>
        <v>-3.9814639096535931E-4</v>
      </c>
    </row>
    <row r="231" spans="1:37" ht="22.5" x14ac:dyDescent="0.55000000000000004">
      <c r="A231" s="7" t="s">
        <v>716</v>
      </c>
      <c r="B231" s="25">
        <v>0.56111111111111112</v>
      </c>
      <c r="C231" s="7">
        <v>1337268.92</v>
      </c>
      <c r="D231" s="27">
        <f t="shared" si="13"/>
        <v>1.8637511246974992E-3</v>
      </c>
      <c r="E231" s="7">
        <v>340177.75</v>
      </c>
      <c r="F231" s="27">
        <f t="shared" si="6"/>
        <v>3.6096909013350054E-3</v>
      </c>
      <c r="G231" s="9">
        <v>53291188.872000001</v>
      </c>
      <c r="H231" s="9">
        <v>49328.205000000002</v>
      </c>
      <c r="I231" s="24">
        <f t="shared" si="19"/>
        <v>49.328205000000004</v>
      </c>
      <c r="J231" s="24">
        <f t="shared" si="20"/>
        <v>47.151393000000006</v>
      </c>
      <c r="K231" s="11">
        <v>10105244.338</v>
      </c>
      <c r="L231" s="11">
        <v>3173631.7289999998</v>
      </c>
      <c r="M231" s="11">
        <v>50191.684999999998</v>
      </c>
      <c r="N231" s="13">
        <v>29210</v>
      </c>
      <c r="O231" s="13">
        <f>202+118</f>
        <v>320</v>
      </c>
      <c r="P231" s="13">
        <f>126+187</f>
        <v>313</v>
      </c>
      <c r="Q231" s="13">
        <v>85</v>
      </c>
      <c r="R231" s="23">
        <v>1.9</v>
      </c>
      <c r="S231" s="13">
        <v>61</v>
      </c>
      <c r="T231" s="23">
        <v>1.3</v>
      </c>
      <c r="U231" s="15" t="s">
        <v>717</v>
      </c>
      <c r="V231" s="15" t="s">
        <v>718</v>
      </c>
      <c r="W231" s="24">
        <v>-2</v>
      </c>
      <c r="X231" s="24"/>
      <c r="Y231" s="24"/>
      <c r="Z231" s="24"/>
      <c r="AA231" s="16">
        <v>249216</v>
      </c>
      <c r="AB231" s="17">
        <f t="shared" si="18"/>
        <v>267.1179416209232</v>
      </c>
      <c r="AC231" s="27">
        <f t="shared" si="15"/>
        <v>2.1017182468474171E-2</v>
      </c>
      <c r="AD231" s="19">
        <v>38612</v>
      </c>
      <c r="AE231" s="20">
        <v>-1.3</v>
      </c>
      <c r="AF231" s="16">
        <v>125020000</v>
      </c>
      <c r="AG231" s="20">
        <v>0.08</v>
      </c>
      <c r="AH231" s="16">
        <v>12294000</v>
      </c>
      <c r="AI231" s="20">
        <v>-0.06</v>
      </c>
      <c r="AJ231" s="7">
        <f t="shared" si="21"/>
        <v>1337268.92</v>
      </c>
      <c r="AK231" s="27">
        <f t="shared" si="21"/>
        <v>1.8637511246974992E-3</v>
      </c>
    </row>
    <row r="232" spans="1:37" ht="22.5" x14ac:dyDescent="0.55000000000000004">
      <c r="A232" s="7" t="s">
        <v>719</v>
      </c>
      <c r="B232" s="25">
        <v>0.55902777777777779</v>
      </c>
      <c r="C232" s="7">
        <v>1345031.18</v>
      </c>
      <c r="D232" s="27">
        <f t="shared" si="13"/>
        <v>5.8045617331778931E-3</v>
      </c>
      <c r="E232" s="7">
        <v>342800.83</v>
      </c>
      <c r="F232" s="27">
        <f t="shared" si="6"/>
        <v>7.7109099581027518E-3</v>
      </c>
      <c r="G232" s="9">
        <v>53598383.420999996</v>
      </c>
      <c r="H232" s="9">
        <v>98568.86</v>
      </c>
      <c r="I232" s="24">
        <f t="shared" si="19"/>
        <v>98.568860000000001</v>
      </c>
      <c r="J232" s="24">
        <f t="shared" si="20"/>
        <v>53.116112000000008</v>
      </c>
      <c r="K232" s="11">
        <v>10148245.628</v>
      </c>
      <c r="L232" s="11">
        <v>3187900.0019999999</v>
      </c>
      <c r="M232" s="11">
        <v>20243.673999999999</v>
      </c>
      <c r="N232" s="13">
        <v>30010</v>
      </c>
      <c r="O232" s="13">
        <f>256+179</f>
        <v>435</v>
      </c>
      <c r="P232" s="13">
        <f>119+72</f>
        <v>191</v>
      </c>
      <c r="Q232" s="13">
        <v>110</v>
      </c>
      <c r="R232" s="23">
        <v>5.09</v>
      </c>
      <c r="S232" s="13">
        <v>43</v>
      </c>
      <c r="T232" s="23">
        <v>0.91</v>
      </c>
      <c r="U232" s="15" t="s">
        <v>720</v>
      </c>
      <c r="V232" s="15" t="s">
        <v>721</v>
      </c>
      <c r="W232" s="24">
        <v>0.28000000000000003</v>
      </c>
      <c r="X232" s="24"/>
      <c r="Y232" s="24"/>
      <c r="Z232" s="24"/>
      <c r="AA232" s="16">
        <v>245840</v>
      </c>
      <c r="AB232" s="17">
        <f t="shared" si="18"/>
        <v>272.26866681988287</v>
      </c>
      <c r="AC232" s="27">
        <f t="shared" si="15"/>
        <v>-1.3546481766820717E-2</v>
      </c>
      <c r="AD232" s="19">
        <v>40358</v>
      </c>
      <c r="AE232" s="20">
        <v>4.55</v>
      </c>
      <c r="AF232" s="16">
        <v>124160000</v>
      </c>
      <c r="AG232" s="20">
        <v>-0.26</v>
      </c>
      <c r="AH232" s="16">
        <v>12238000</v>
      </c>
      <c r="AI232" s="20">
        <v>-0.02</v>
      </c>
      <c r="AJ232" s="7">
        <f t="shared" si="21"/>
        <v>1345031.18</v>
      </c>
      <c r="AK232" s="27">
        <f t="shared" si="21"/>
        <v>5.8045617331778931E-3</v>
      </c>
    </row>
    <row r="233" spans="1:37" ht="22.5" x14ac:dyDescent="0.55000000000000004">
      <c r="A233" s="7" t="s">
        <v>722</v>
      </c>
      <c r="B233" s="25">
        <v>0.58402777777777781</v>
      </c>
      <c r="C233" s="7">
        <v>1367248.6</v>
      </c>
      <c r="D233" s="27">
        <f t="shared" si="13"/>
        <v>1.6518144954825731E-2</v>
      </c>
      <c r="E233" s="7">
        <v>348270.1</v>
      </c>
      <c r="F233" s="27">
        <f t="shared" si="6"/>
        <v>1.5954657986096299E-2</v>
      </c>
      <c r="G233" s="9">
        <v>54483191.633000001</v>
      </c>
      <c r="H233" s="9">
        <v>42186.510999999999</v>
      </c>
      <c r="I233" s="24">
        <f t="shared" si="19"/>
        <v>42.186510999999996</v>
      </c>
      <c r="J233" s="24">
        <f t="shared" si="20"/>
        <v>52.106843111111111</v>
      </c>
      <c r="K233" s="11">
        <v>10243318.92</v>
      </c>
      <c r="L233" s="11">
        <v>3209279.9040000001</v>
      </c>
      <c r="M233" s="11">
        <v>21596.151999999998</v>
      </c>
      <c r="N233" s="13">
        <v>34830</v>
      </c>
      <c r="O233" s="13">
        <f>327+213</f>
        <v>540</v>
      </c>
      <c r="P233" s="13">
        <f>37+47</f>
        <v>84</v>
      </c>
      <c r="Q233" s="13">
        <v>165</v>
      </c>
      <c r="R233" s="23">
        <v>7.2</v>
      </c>
      <c r="S233" s="13">
        <v>26</v>
      </c>
      <c r="T233" s="23">
        <v>0.42899999999999999</v>
      </c>
      <c r="U233" s="15" t="s">
        <v>723</v>
      </c>
      <c r="V233" s="15" t="s">
        <v>724</v>
      </c>
      <c r="W233" s="24">
        <v>0.3</v>
      </c>
      <c r="X233" s="24"/>
      <c r="Y233" s="24"/>
      <c r="Z233" s="24"/>
      <c r="AA233" s="16">
        <v>249543</v>
      </c>
      <c r="AB233" s="17">
        <f t="shared" ref="AB233:AB296" si="22">(L233+K233+G233)/AA233</f>
        <v>272.24081804338329</v>
      </c>
      <c r="AC233" s="27">
        <f t="shared" si="15"/>
        <v>1.5062642369020551E-2</v>
      </c>
      <c r="AD233" s="19">
        <v>41653</v>
      </c>
      <c r="AE233" s="20">
        <v>2.61</v>
      </c>
      <c r="AF233" s="16">
        <v>124080000</v>
      </c>
      <c r="AG233" s="20">
        <v>0</v>
      </c>
      <c r="AH233" s="16">
        <v>12291000</v>
      </c>
      <c r="AI233" s="20">
        <v>0</v>
      </c>
      <c r="AJ233" s="7">
        <f t="shared" si="21"/>
        <v>1367248.6</v>
      </c>
      <c r="AK233" s="27">
        <f t="shared" si="21"/>
        <v>1.6518144954825731E-2</v>
      </c>
    </row>
    <row r="234" spans="1:37" ht="22.5" x14ac:dyDescent="0.55000000000000004">
      <c r="A234" s="7" t="s">
        <v>725</v>
      </c>
      <c r="B234" s="25">
        <v>0.5854166666666667</v>
      </c>
      <c r="C234" s="7">
        <v>1390778.66</v>
      </c>
      <c r="D234" s="27">
        <f t="shared" si="13"/>
        <v>1.7209789061038316E-2</v>
      </c>
      <c r="E234" s="7">
        <v>350545.72</v>
      </c>
      <c r="F234" s="27">
        <f t="shared" si="6"/>
        <v>6.5340665190609659E-3</v>
      </c>
      <c r="G234" s="9">
        <v>55405118.729000002</v>
      </c>
      <c r="H234" s="9">
        <v>46134.561999999998</v>
      </c>
      <c r="I234" s="24">
        <f t="shared" si="19"/>
        <v>46.134561999999995</v>
      </c>
      <c r="J234" s="24">
        <f t="shared" si="20"/>
        <v>49.934975666666666</v>
      </c>
      <c r="K234" s="11">
        <v>10341282.806</v>
      </c>
      <c r="L234" s="11">
        <v>3221068.432</v>
      </c>
      <c r="M234" s="11">
        <v>13438.95</v>
      </c>
      <c r="N234" s="13">
        <v>44360</v>
      </c>
      <c r="O234" s="13">
        <v>405</v>
      </c>
      <c r="P234" s="13">
        <v>216</v>
      </c>
      <c r="Q234" s="13">
        <v>125</v>
      </c>
      <c r="R234" s="23">
        <v>4.13</v>
      </c>
      <c r="S234" s="13">
        <v>39</v>
      </c>
      <c r="T234" s="23">
        <v>0.47</v>
      </c>
      <c r="U234" s="15" t="s">
        <v>726</v>
      </c>
      <c r="V234" s="15" t="s">
        <v>727</v>
      </c>
      <c r="W234" s="24">
        <v>1.74</v>
      </c>
      <c r="X234" s="24"/>
      <c r="Y234" s="24"/>
      <c r="Z234" s="24"/>
      <c r="AA234" s="16">
        <v>254262</v>
      </c>
      <c r="AB234" s="17">
        <f t="shared" si="22"/>
        <v>271.24568345643473</v>
      </c>
      <c r="AC234" s="27">
        <f t="shared" si="15"/>
        <v>1.8910568519253212E-2</v>
      </c>
      <c r="AD234" s="19">
        <v>44483</v>
      </c>
      <c r="AE234" s="20">
        <v>1.03</v>
      </c>
      <c r="AF234" s="16">
        <v>123740000</v>
      </c>
      <c r="AG234" s="20">
        <v>-0.27</v>
      </c>
      <c r="AH234" s="16">
        <v>12370000</v>
      </c>
      <c r="AI234" s="20">
        <v>0.64</v>
      </c>
      <c r="AJ234" s="7">
        <f t="shared" si="21"/>
        <v>1390778.66</v>
      </c>
      <c r="AK234" s="27">
        <f t="shared" si="21"/>
        <v>1.7209789061038316E-2</v>
      </c>
    </row>
    <row r="235" spans="1:37" ht="22.5" x14ac:dyDescent="0.55000000000000004">
      <c r="A235" s="7" t="s">
        <v>728</v>
      </c>
      <c r="B235" s="25">
        <v>0.60277777777777775</v>
      </c>
      <c r="C235" s="7">
        <v>1403589.59</v>
      </c>
      <c r="D235" s="27">
        <f t="shared" si="13"/>
        <v>9.2113363315484698E-3</v>
      </c>
      <c r="E235" s="7">
        <v>353581.34</v>
      </c>
      <c r="F235" s="27">
        <f t="shared" si="6"/>
        <v>8.6596977991917345E-3</v>
      </c>
      <c r="G235" s="9">
        <v>55888206.564000003</v>
      </c>
      <c r="H235" s="9">
        <v>47599.216999999997</v>
      </c>
      <c r="I235" s="24">
        <f t="shared" si="19"/>
        <v>47.599216999999996</v>
      </c>
      <c r="J235" s="24">
        <f t="shared" si="20"/>
        <v>50.505985000000003</v>
      </c>
      <c r="K235" s="11">
        <v>10456165.867000001</v>
      </c>
      <c r="L235" s="11">
        <v>3238997.665</v>
      </c>
      <c r="M235" s="11">
        <v>14459.802</v>
      </c>
      <c r="N235" s="13">
        <v>41370</v>
      </c>
      <c r="O235" s="13">
        <v>471</v>
      </c>
      <c r="P235" s="13">
        <v>152</v>
      </c>
      <c r="Q235" s="13">
        <v>148</v>
      </c>
      <c r="R235" s="23">
        <v>4.7</v>
      </c>
      <c r="S235" s="13">
        <v>21</v>
      </c>
      <c r="T235" s="23">
        <v>0.41699999999999998</v>
      </c>
      <c r="U235" s="15" t="s">
        <v>729</v>
      </c>
      <c r="V235" s="15" t="s">
        <v>730</v>
      </c>
      <c r="W235" s="24">
        <v>-0.41</v>
      </c>
      <c r="X235" s="24"/>
      <c r="Y235" s="24"/>
      <c r="Z235" s="24"/>
      <c r="AA235" s="16">
        <v>253181</v>
      </c>
      <c r="AB235" s="17">
        <f t="shared" si="22"/>
        <v>274.83646125104173</v>
      </c>
      <c r="AC235" s="27">
        <f t="shared" si="15"/>
        <v>-4.2515200855810509E-3</v>
      </c>
      <c r="AD235" s="19">
        <v>44617</v>
      </c>
      <c r="AE235" s="20">
        <v>0.34</v>
      </c>
      <c r="AF235" s="16">
        <v>123980000</v>
      </c>
      <c r="AG235" s="20">
        <v>0.19</v>
      </c>
      <c r="AH235" s="16">
        <v>12367000</v>
      </c>
      <c r="AI235" s="20">
        <v>7.0000000000000007E-2</v>
      </c>
      <c r="AJ235" s="7">
        <f t="shared" si="21"/>
        <v>1403589.59</v>
      </c>
      <c r="AK235" s="27">
        <f t="shared" si="21"/>
        <v>9.2113363315484698E-3</v>
      </c>
    </row>
    <row r="236" spans="1:37" ht="22.5" x14ac:dyDescent="0.55000000000000004">
      <c r="A236" s="7" t="s">
        <v>731</v>
      </c>
      <c r="B236" s="25">
        <v>0.56944444444444442</v>
      </c>
      <c r="C236" s="7">
        <v>1418609.48</v>
      </c>
      <c r="D236" s="27">
        <f t="shared" si="13"/>
        <v>1.0701055427462913E-2</v>
      </c>
      <c r="E236" s="7">
        <v>360434.89</v>
      </c>
      <c r="F236" s="27">
        <f t="shared" si="6"/>
        <v>1.9383234420685236E-2</v>
      </c>
      <c r="G236" s="9">
        <v>56484280.333999999</v>
      </c>
      <c r="H236" s="9">
        <v>50318.841</v>
      </c>
      <c r="I236" s="24">
        <f t="shared" si="19"/>
        <v>50.318840999999999</v>
      </c>
      <c r="J236" s="24">
        <f t="shared" si="20"/>
        <v>51.174595333333336</v>
      </c>
      <c r="K236" s="11">
        <v>10456165.867000001</v>
      </c>
      <c r="L236" s="11">
        <v>3238997.665</v>
      </c>
      <c r="M236" s="11">
        <v>20735.112000000001</v>
      </c>
      <c r="N236" s="13">
        <v>48500</v>
      </c>
      <c r="O236" s="13">
        <v>346</v>
      </c>
      <c r="P236" s="13">
        <v>31</v>
      </c>
      <c r="Q236" s="13">
        <v>225</v>
      </c>
      <c r="R236" s="23">
        <v>8.6</v>
      </c>
      <c r="S236" s="13">
        <v>21</v>
      </c>
      <c r="T236" s="23">
        <v>0.41</v>
      </c>
      <c r="U236" s="15" t="s">
        <v>732</v>
      </c>
      <c r="V236" s="15" t="s">
        <v>733</v>
      </c>
      <c r="W236" s="24">
        <v>4.03</v>
      </c>
      <c r="X236" s="24"/>
      <c r="Y236" s="24"/>
      <c r="Z236" s="24"/>
      <c r="AA236" s="16">
        <v>253184</v>
      </c>
      <c r="AB236" s="17">
        <f t="shared" si="22"/>
        <v>277.1875152695273</v>
      </c>
      <c r="AC236" s="27">
        <f t="shared" si="15"/>
        <v>1.1849230392435572E-5</v>
      </c>
      <c r="AD236" s="19">
        <v>47009</v>
      </c>
      <c r="AE236" s="20">
        <v>5.34</v>
      </c>
      <c r="AF236" s="16">
        <v>124480000</v>
      </c>
      <c r="AG236" s="20">
        <v>0.4</v>
      </c>
      <c r="AH236" s="16">
        <v>12434000</v>
      </c>
      <c r="AI236" s="20">
        <v>-0.1</v>
      </c>
      <c r="AJ236" s="7">
        <f t="shared" si="21"/>
        <v>1418609.48</v>
      </c>
      <c r="AK236" s="27">
        <f t="shared" si="21"/>
        <v>1.0701055427462913E-2</v>
      </c>
    </row>
    <row r="237" spans="1:37" ht="22.5" x14ac:dyDescent="0.55000000000000004">
      <c r="A237" s="7" t="s">
        <v>734</v>
      </c>
      <c r="B237" s="25">
        <v>0.53541666666666665</v>
      </c>
      <c r="C237" s="7">
        <v>1414244.14</v>
      </c>
      <c r="D237" s="27">
        <f t="shared" si="13"/>
        <v>-3.077196410671168E-3</v>
      </c>
      <c r="E237" s="7">
        <v>362921.54</v>
      </c>
      <c r="F237" s="27">
        <f t="shared" si="6"/>
        <v>6.8990268949822298E-3</v>
      </c>
      <c r="G237" s="9">
        <v>56331587.939999998</v>
      </c>
      <c r="H237" s="9">
        <v>48094.224000000002</v>
      </c>
      <c r="I237" s="24">
        <f t="shared" si="19"/>
        <v>48.094224000000004</v>
      </c>
      <c r="J237" s="24">
        <f t="shared" si="20"/>
        <v>50.785821777777784</v>
      </c>
      <c r="K237" s="11">
        <v>10619791.469000001</v>
      </c>
      <c r="L237" s="11">
        <v>3280084.4550000001</v>
      </c>
      <c r="M237" s="11">
        <v>24088.571</v>
      </c>
      <c r="N237" s="13">
        <v>5567</v>
      </c>
      <c r="O237" s="13">
        <v>378</v>
      </c>
      <c r="P237" s="13">
        <v>238</v>
      </c>
      <c r="Q237" s="13">
        <v>174</v>
      </c>
      <c r="R237" s="23">
        <v>6.2</v>
      </c>
      <c r="S237" s="13">
        <v>39</v>
      </c>
      <c r="T237" s="23">
        <v>0.78</v>
      </c>
      <c r="U237" s="15" t="s">
        <v>735</v>
      </c>
      <c r="V237" s="15" t="s">
        <v>736</v>
      </c>
      <c r="W237" s="24">
        <v>-3.09</v>
      </c>
      <c r="X237" s="24"/>
      <c r="Y237" s="24"/>
      <c r="Z237" s="24"/>
      <c r="AA237" s="16">
        <v>252895</v>
      </c>
      <c r="AB237" s="17">
        <f t="shared" si="22"/>
        <v>277.70997395757132</v>
      </c>
      <c r="AC237" s="27">
        <f t="shared" si="15"/>
        <v>-1.1414623356925668E-3</v>
      </c>
      <c r="AD237" s="19">
        <v>47564</v>
      </c>
      <c r="AE237" s="28">
        <f t="shared" ref="AE237:AE300" si="23">(AD237/AD236)-1</f>
        <v>1.1806249867046814E-2</v>
      </c>
      <c r="AF237" s="16">
        <v>119960000</v>
      </c>
      <c r="AG237" s="28">
        <f t="shared" ref="AG237:AG305" si="24">(AF237/AF236)-1</f>
        <v>-3.6311053984575792E-2</v>
      </c>
      <c r="AH237" s="16">
        <v>12494000</v>
      </c>
      <c r="AI237" s="28">
        <f t="shared" ref="AI237:AI300" si="25">(AH237/AH236)-1</f>
        <v>4.8254785266206301E-3</v>
      </c>
      <c r="AJ237" s="7">
        <f t="shared" si="21"/>
        <v>1414244.14</v>
      </c>
      <c r="AK237" s="27">
        <f t="shared" si="21"/>
        <v>-3.077196410671168E-3</v>
      </c>
    </row>
    <row r="238" spans="1:37" ht="22.5" x14ac:dyDescent="0.55000000000000004">
      <c r="A238" s="7" t="s">
        <v>737</v>
      </c>
      <c r="B238" s="25">
        <v>0.56041666666666667</v>
      </c>
      <c r="C238" s="7">
        <v>1432170.65</v>
      </c>
      <c r="D238" s="27">
        <f t="shared" si="13"/>
        <v>1.2675682714867076E-2</v>
      </c>
      <c r="E238" s="7">
        <v>365903</v>
      </c>
      <c r="F238" s="27">
        <f t="shared" si="6"/>
        <v>8.2151640820218308E-3</v>
      </c>
      <c r="G238" s="9">
        <v>57044442</v>
      </c>
      <c r="H238" s="9">
        <v>36401.737999999998</v>
      </c>
      <c r="I238" s="24">
        <f t="shared" si="19"/>
        <v>36.401737999999995</v>
      </c>
      <c r="J238" s="24">
        <f t="shared" si="20"/>
        <v>50.660895000000011</v>
      </c>
      <c r="K238" s="11">
        <v>10766100.950999999</v>
      </c>
      <c r="L238" s="11">
        <v>3292875.9139999999</v>
      </c>
      <c r="M238" s="11">
        <v>16261.915999999999</v>
      </c>
      <c r="N238" s="13">
        <v>4331</v>
      </c>
      <c r="O238" s="13">
        <v>471</v>
      </c>
      <c r="P238" s="13">
        <v>146</v>
      </c>
      <c r="Q238" s="13">
        <v>156</v>
      </c>
      <c r="R238" s="23">
        <v>6.8</v>
      </c>
      <c r="S238" s="13">
        <v>23</v>
      </c>
      <c r="T238" s="23">
        <v>0.3</v>
      </c>
      <c r="U238" s="15" t="s">
        <v>738</v>
      </c>
      <c r="V238" s="15" t="s">
        <v>739</v>
      </c>
      <c r="W238" s="20">
        <v>0.25</v>
      </c>
      <c r="X238" s="20"/>
      <c r="Y238" s="20"/>
      <c r="Z238" s="20"/>
      <c r="AA238" s="16">
        <v>253160</v>
      </c>
      <c r="AB238" s="17">
        <f t="shared" si="22"/>
        <v>280.86356006083105</v>
      </c>
      <c r="AC238" s="27">
        <f t="shared" si="15"/>
        <v>1.0478657150201354E-3</v>
      </c>
      <c r="AD238" s="19">
        <v>47405</v>
      </c>
      <c r="AE238" s="28">
        <f t="shared" si="23"/>
        <v>-3.3428643511900225E-3</v>
      </c>
      <c r="AF238" s="16">
        <v>120660000</v>
      </c>
      <c r="AG238" s="28">
        <f t="shared" si="24"/>
        <v>5.8352784261419544E-3</v>
      </c>
      <c r="AH238" s="16">
        <v>12492000</v>
      </c>
      <c r="AI238" s="29">
        <f t="shared" si="25"/>
        <v>-1.6007683688168406E-4</v>
      </c>
      <c r="AJ238" s="7">
        <f t="shared" si="21"/>
        <v>1432170.65</v>
      </c>
      <c r="AK238" s="27">
        <f t="shared" si="21"/>
        <v>1.2675682714867076E-2</v>
      </c>
    </row>
    <row r="239" spans="1:37" ht="22.5" x14ac:dyDescent="0.55000000000000004">
      <c r="A239" s="7" t="s">
        <v>740</v>
      </c>
      <c r="B239" s="25">
        <v>0.63680555555555551</v>
      </c>
      <c r="C239" s="7">
        <v>1461966.47</v>
      </c>
      <c r="D239" s="27">
        <f t="shared" si="13"/>
        <v>2.0804657601382948E-2</v>
      </c>
      <c r="E239" s="7">
        <v>372712.02</v>
      </c>
      <c r="F239" s="27">
        <f t="shared" si="6"/>
        <v>1.8608811624938992E-2</v>
      </c>
      <c r="G239" s="9">
        <v>58233358.861000001</v>
      </c>
      <c r="H239" s="9">
        <v>57074.714</v>
      </c>
      <c r="I239" s="24">
        <f t="shared" si="19"/>
        <v>57.074714</v>
      </c>
      <c r="J239" s="24">
        <f t="shared" si="20"/>
        <v>52.856319111111105</v>
      </c>
      <c r="K239" s="11">
        <v>10942097.004000001</v>
      </c>
      <c r="L239" s="11">
        <v>3318788.4580000001</v>
      </c>
      <c r="M239" s="11">
        <v>30710.332999999999</v>
      </c>
      <c r="N239" s="13">
        <v>5440</v>
      </c>
      <c r="O239" s="13">
        <f>329+166</f>
        <v>495</v>
      </c>
      <c r="P239" s="13">
        <f>76+64</f>
        <v>140</v>
      </c>
      <c r="Q239" s="13">
        <v>206</v>
      </c>
      <c r="R239" s="23">
        <v>11.4</v>
      </c>
      <c r="S239" s="13">
        <v>23</v>
      </c>
      <c r="T239" s="23">
        <v>0.36899999999999999</v>
      </c>
      <c r="U239" s="15" t="s">
        <v>741</v>
      </c>
      <c r="V239" s="15" t="s">
        <v>742</v>
      </c>
      <c r="W239" s="20">
        <v>5.44</v>
      </c>
      <c r="X239" s="20"/>
      <c r="Y239" s="20"/>
      <c r="Z239" s="20"/>
      <c r="AA239" s="16">
        <v>251535</v>
      </c>
      <c r="AB239" s="17">
        <f t="shared" si="22"/>
        <v>288.20738395451923</v>
      </c>
      <c r="AC239" s="27">
        <f t="shared" si="15"/>
        <v>-6.4188655395797101E-3</v>
      </c>
      <c r="AD239" s="19">
        <v>46250</v>
      </c>
      <c r="AE239" s="28">
        <f t="shared" si="23"/>
        <v>-2.4364518510705646E-2</v>
      </c>
      <c r="AF239" s="16">
        <v>124190000</v>
      </c>
      <c r="AG239" s="28">
        <f t="shared" si="24"/>
        <v>2.9255759986739571E-2</v>
      </c>
      <c r="AH239" s="16">
        <v>12488000</v>
      </c>
      <c r="AI239" s="29">
        <f t="shared" si="25"/>
        <v>-3.2020493115592075E-4</v>
      </c>
      <c r="AJ239" s="7">
        <f t="shared" si="21"/>
        <v>1461966.47</v>
      </c>
      <c r="AK239" s="27">
        <f t="shared" si="21"/>
        <v>2.0804657601382948E-2</v>
      </c>
    </row>
    <row r="240" spans="1:37" ht="22.5" x14ac:dyDescent="0.55000000000000004">
      <c r="A240" s="7" t="s">
        <v>743</v>
      </c>
      <c r="B240" s="25">
        <v>0.61111111111111105</v>
      </c>
      <c r="C240" s="7">
        <v>1468871.14</v>
      </c>
      <c r="D240" s="27">
        <f t="shared" si="13"/>
        <v>4.7228648137189744E-3</v>
      </c>
      <c r="E240" s="7">
        <v>373267.20000000001</v>
      </c>
      <c r="F240" s="27">
        <f t="shared" si="6"/>
        <v>1.4895682731133064E-3</v>
      </c>
      <c r="G240" s="9">
        <v>58505057.748000003</v>
      </c>
      <c r="H240" s="9">
        <v>75796.584000000003</v>
      </c>
      <c r="I240" s="24">
        <f t="shared" si="19"/>
        <v>75.796583999999996</v>
      </c>
      <c r="J240" s="24">
        <f t="shared" si="20"/>
        <v>55.797250111111104</v>
      </c>
      <c r="K240" s="11">
        <v>10973173.909</v>
      </c>
      <c r="L240" s="11">
        <v>3341376.5890000002</v>
      </c>
      <c r="M240" s="11">
        <v>1849084.5549999999</v>
      </c>
      <c r="N240" s="13">
        <v>82770</v>
      </c>
      <c r="O240" s="13">
        <f>165+102</f>
        <v>267</v>
      </c>
      <c r="P240" s="13">
        <f>220+203</f>
        <v>423</v>
      </c>
      <c r="Q240" s="13">
        <v>109</v>
      </c>
      <c r="R240" s="23">
        <v>8.9</v>
      </c>
      <c r="S240" s="13">
        <v>67</v>
      </c>
      <c r="T240" s="23">
        <v>0.86</v>
      </c>
      <c r="U240" s="15" t="s">
        <v>744</v>
      </c>
      <c r="V240" s="15" t="s">
        <v>745</v>
      </c>
      <c r="W240" s="20">
        <v>-3.4</v>
      </c>
      <c r="X240" s="20"/>
      <c r="Y240" s="20"/>
      <c r="Z240" s="20"/>
      <c r="AA240" s="16">
        <v>253078</v>
      </c>
      <c r="AB240" s="17">
        <f t="shared" si="22"/>
        <v>287.73582945178958</v>
      </c>
      <c r="AC240" s="27">
        <f t="shared" si="15"/>
        <v>6.1343351819826974E-3</v>
      </c>
      <c r="AD240" s="19">
        <v>45887</v>
      </c>
      <c r="AE240" s="28">
        <f t="shared" si="23"/>
        <v>-7.8486486486486484E-3</v>
      </c>
      <c r="AF240" s="16">
        <v>125180000</v>
      </c>
      <c r="AG240" s="28">
        <f t="shared" si="24"/>
        <v>7.9716563330380907E-3</v>
      </c>
      <c r="AH240" s="16">
        <v>12714000</v>
      </c>
      <c r="AI240" s="28">
        <f t="shared" si="25"/>
        <v>1.8097373478539458E-2</v>
      </c>
      <c r="AJ240" s="7">
        <f t="shared" si="21"/>
        <v>1468871.14</v>
      </c>
      <c r="AK240" s="27">
        <f t="shared" si="21"/>
        <v>4.7228648137189744E-3</v>
      </c>
    </row>
    <row r="241" spans="1:37" ht="22.5" x14ac:dyDescent="0.55000000000000004">
      <c r="A241" s="7" t="s">
        <v>746</v>
      </c>
      <c r="B241" s="25">
        <v>0.72916666666666663</v>
      </c>
      <c r="C241" s="7">
        <v>1471453.99</v>
      </c>
      <c r="D241" s="27">
        <f t="shared" si="13"/>
        <v>1.7583911411045428E-3</v>
      </c>
      <c r="E241" s="7">
        <v>375828.06</v>
      </c>
      <c r="F241" s="27">
        <f t="shared" si="6"/>
        <v>6.8606617457949159E-3</v>
      </c>
      <c r="G241" s="9">
        <v>58610030.376999997</v>
      </c>
      <c r="H241" s="9">
        <v>59030.296999999999</v>
      </c>
      <c r="I241" s="24">
        <f t="shared" si="19"/>
        <v>59.030296999999997</v>
      </c>
      <c r="J241" s="24">
        <f t="shared" si="20"/>
        <v>51.404076444444442</v>
      </c>
      <c r="K241" s="11">
        <v>11024256.011</v>
      </c>
      <c r="L241" s="11">
        <v>3354613.9279999998</v>
      </c>
      <c r="M241" s="11">
        <v>19367.009999999998</v>
      </c>
      <c r="N241" s="13">
        <v>59930</v>
      </c>
      <c r="O241" s="13">
        <f>261+154</f>
        <v>415</v>
      </c>
      <c r="P241" s="13">
        <f>117+83</f>
        <v>200</v>
      </c>
      <c r="Q241" s="13">
        <v>161</v>
      </c>
      <c r="R241" s="23">
        <v>6.97</v>
      </c>
      <c r="S241" s="13">
        <v>26</v>
      </c>
      <c r="T241" s="23">
        <v>0.438</v>
      </c>
      <c r="U241" s="15" t="s">
        <v>747</v>
      </c>
      <c r="V241" s="15" t="s">
        <v>748</v>
      </c>
      <c r="W241" s="20">
        <v>-0.41</v>
      </c>
      <c r="X241" s="20"/>
      <c r="Y241" s="20"/>
      <c r="Z241" s="20"/>
      <c r="AA241" s="16">
        <v>252847</v>
      </c>
      <c r="AB241" s="17">
        <f t="shared" si="22"/>
        <v>288.66824726415581</v>
      </c>
      <c r="AC241" s="27">
        <f t="shared" si="15"/>
        <v>-9.1276207335289072E-4</v>
      </c>
      <c r="AD241" s="19">
        <v>46907</v>
      </c>
      <c r="AE241" s="28">
        <f t="shared" si="23"/>
        <v>2.2228517880881205E-2</v>
      </c>
      <c r="AF241" s="16">
        <v>126480000</v>
      </c>
      <c r="AG241" s="28">
        <f t="shared" si="24"/>
        <v>1.0385045534430315E-2</v>
      </c>
      <c r="AH241" s="16">
        <v>12942000</v>
      </c>
      <c r="AI241" s="28">
        <f t="shared" si="25"/>
        <v>1.7932987258140631E-2</v>
      </c>
      <c r="AJ241" s="7">
        <f t="shared" si="21"/>
        <v>1471453.99</v>
      </c>
      <c r="AK241" s="27">
        <f t="shared" si="21"/>
        <v>1.7583911411045428E-3</v>
      </c>
    </row>
    <row r="242" spans="1:37" ht="22.5" x14ac:dyDescent="0.55000000000000004">
      <c r="A242" s="7" t="s">
        <v>749</v>
      </c>
      <c r="B242" s="25">
        <v>0.57638888888888895</v>
      </c>
      <c r="C242" s="7">
        <v>1463759.69</v>
      </c>
      <c r="D242" s="27">
        <f t="shared" si="13"/>
        <v>-5.2290455918366785E-3</v>
      </c>
      <c r="E242" s="7">
        <v>377368.3</v>
      </c>
      <c r="F242" s="27">
        <f t="shared" si="6"/>
        <v>4.0982570593584011E-3</v>
      </c>
      <c r="G242" s="9">
        <v>58306109.663999997</v>
      </c>
      <c r="H242" s="9">
        <v>59356.069000000003</v>
      </c>
      <c r="I242" s="24">
        <f t="shared" si="19"/>
        <v>59.356069000000005</v>
      </c>
      <c r="J242" s="24">
        <f t="shared" si="20"/>
        <v>53.311805111111113</v>
      </c>
      <c r="K242" s="11">
        <v>11062901.873</v>
      </c>
      <c r="L242" s="11">
        <v>3373800.7370000002</v>
      </c>
      <c r="M242" s="11">
        <v>22709.648000000001</v>
      </c>
      <c r="N242" s="13">
        <v>67790</v>
      </c>
      <c r="O242" s="13">
        <f>126+158</f>
        <v>284</v>
      </c>
      <c r="P242" s="13">
        <f>113+217</f>
        <v>330</v>
      </c>
      <c r="Q242" s="13">
        <v>105</v>
      </c>
      <c r="R242" s="23">
        <v>4.7</v>
      </c>
      <c r="S242" s="13">
        <v>49</v>
      </c>
      <c r="T242" s="23">
        <v>0.9</v>
      </c>
      <c r="U242" s="15" t="s">
        <v>750</v>
      </c>
      <c r="V242" s="15" t="s">
        <v>751</v>
      </c>
      <c r="W242" s="20">
        <v>-2.64</v>
      </c>
      <c r="X242" s="20"/>
      <c r="Y242" s="20"/>
      <c r="Z242" s="20"/>
      <c r="AA242" s="16">
        <v>253067</v>
      </c>
      <c r="AB242" s="17">
        <f t="shared" si="22"/>
        <v>287.44487536502186</v>
      </c>
      <c r="AC242" s="27">
        <f t="shared" si="15"/>
        <v>8.7009139914662192E-4</v>
      </c>
      <c r="AD242" s="19">
        <v>45340</v>
      </c>
      <c r="AE242" s="28">
        <f t="shared" si="23"/>
        <v>-3.3406527810348141E-2</v>
      </c>
      <c r="AF242" s="16">
        <v>127570000</v>
      </c>
      <c r="AG242" s="28">
        <f t="shared" si="24"/>
        <v>8.6179633143579348E-3</v>
      </c>
      <c r="AH242" s="16">
        <v>12797000</v>
      </c>
      <c r="AI242" s="30">
        <f t="shared" si="25"/>
        <v>-1.120383248338741E-2</v>
      </c>
      <c r="AJ242" s="7">
        <f t="shared" si="21"/>
        <v>1463759.69</v>
      </c>
      <c r="AK242" s="27">
        <f t="shared" si="21"/>
        <v>-5.2290455918366785E-3</v>
      </c>
    </row>
    <row r="243" spans="1:37" ht="22.5" x14ac:dyDescent="0.55000000000000004">
      <c r="A243" s="7" t="s">
        <v>752</v>
      </c>
      <c r="B243" s="25">
        <v>0.54861111111111105</v>
      </c>
      <c r="C243" s="7">
        <v>1458772.7</v>
      </c>
      <c r="D243" s="27">
        <f t="shared" si="13"/>
        <v>-3.4069731760408839E-3</v>
      </c>
      <c r="E243" s="7">
        <v>378075</v>
      </c>
      <c r="F243" s="27">
        <f t="shared" si="6"/>
        <v>1.8727063189991622E-3</v>
      </c>
      <c r="G243" s="9">
        <v>58105339.381999999</v>
      </c>
      <c r="H243" s="9">
        <v>50582.400000000001</v>
      </c>
      <c r="I243" s="24">
        <f t="shared" si="19"/>
        <v>50.5824</v>
      </c>
      <c r="J243" s="24">
        <f t="shared" si="20"/>
        <v>53.806009333333328</v>
      </c>
      <c r="K243" s="11">
        <v>11083671.145</v>
      </c>
      <c r="L243" s="11">
        <v>3374937.7990000001</v>
      </c>
      <c r="M243" s="11">
        <v>29897.534</v>
      </c>
      <c r="N243" s="13">
        <v>5316</v>
      </c>
      <c r="O243" s="13">
        <v>357</v>
      </c>
      <c r="P243" s="13">
        <v>256</v>
      </c>
      <c r="Q243" s="13">
        <v>161</v>
      </c>
      <c r="R243" s="23">
        <v>3.9</v>
      </c>
      <c r="S243" s="13">
        <v>34</v>
      </c>
      <c r="T243" s="23">
        <v>0.6</v>
      </c>
      <c r="U243" s="15" t="s">
        <v>753</v>
      </c>
      <c r="V243" s="15" t="s">
        <v>754</v>
      </c>
      <c r="W243" s="20">
        <v>-2.7</v>
      </c>
      <c r="X243" s="20"/>
      <c r="Y243" s="20"/>
      <c r="Z243" s="20"/>
      <c r="AA243" s="16">
        <v>253028</v>
      </c>
      <c r="AB243" s="17">
        <f t="shared" si="22"/>
        <v>286.78228625290484</v>
      </c>
      <c r="AC243" s="27">
        <f t="shared" si="15"/>
        <v>-1.5410938605187052E-4</v>
      </c>
      <c r="AD243" s="19">
        <v>42456</v>
      </c>
      <c r="AE243" s="28">
        <f t="shared" si="23"/>
        <v>-6.3608292898103214E-2</v>
      </c>
      <c r="AF243" s="16">
        <v>127380000</v>
      </c>
      <c r="AG243" s="30">
        <f t="shared" si="24"/>
        <v>-1.4893783804970084E-3</v>
      </c>
      <c r="AH243" s="16">
        <v>12935000</v>
      </c>
      <c r="AI243" s="28">
        <f t="shared" si="25"/>
        <v>1.0783777447839427E-2</v>
      </c>
      <c r="AJ243" s="7">
        <f t="shared" si="21"/>
        <v>1458772.7</v>
      </c>
      <c r="AK243" s="27">
        <f t="shared" si="21"/>
        <v>-3.4069731760408839E-3</v>
      </c>
    </row>
    <row r="244" spans="1:37" ht="22.5" x14ac:dyDescent="0.55000000000000004">
      <c r="A244" s="7" t="s">
        <v>755</v>
      </c>
      <c r="B244" s="25">
        <v>0.55902777777777779</v>
      </c>
      <c r="C244" s="7">
        <v>1474099.49</v>
      </c>
      <c r="D244" s="27">
        <f t="shared" si="13"/>
        <v>1.0506633418626565E-2</v>
      </c>
      <c r="E244" s="7">
        <v>383500.83</v>
      </c>
      <c r="F244" s="27">
        <f t="shared" si="6"/>
        <v>1.4351200158698729E-2</v>
      </c>
      <c r="G244" s="9">
        <v>58716550.626000002</v>
      </c>
      <c r="H244" s="9">
        <v>55777.345000000001</v>
      </c>
      <c r="I244" s="24">
        <f t="shared" si="19"/>
        <v>55.777345000000004</v>
      </c>
      <c r="J244" s="24">
        <f t="shared" si="20"/>
        <v>54.714690222222231</v>
      </c>
      <c r="K244" s="11">
        <v>11180861.024</v>
      </c>
      <c r="L244" s="11">
        <v>3407242.497</v>
      </c>
      <c r="M244" s="11">
        <v>46487.076000000001</v>
      </c>
      <c r="N244" s="13">
        <v>61660</v>
      </c>
      <c r="O244" s="13">
        <f>310+167</f>
        <v>477</v>
      </c>
      <c r="P244" s="13">
        <f>72+60</f>
        <v>132</v>
      </c>
      <c r="Q244" s="13">
        <v>183</v>
      </c>
      <c r="R244" s="23">
        <v>5.7</v>
      </c>
      <c r="S244" s="13">
        <v>9</v>
      </c>
      <c r="T244" s="23">
        <v>0.188</v>
      </c>
      <c r="U244" s="15" t="s">
        <v>756</v>
      </c>
      <c r="V244" s="15" t="s">
        <v>757</v>
      </c>
      <c r="W244" s="20">
        <v>1.98</v>
      </c>
      <c r="X244" s="20"/>
      <c r="Y244" s="20"/>
      <c r="Z244" s="20"/>
      <c r="AA244" s="16">
        <v>252623</v>
      </c>
      <c r="AB244" s="17">
        <f t="shared" si="22"/>
        <v>290.17410982768791</v>
      </c>
      <c r="AC244" s="27">
        <f t="shared" si="15"/>
        <v>-1.6006133708522663E-3</v>
      </c>
      <c r="AD244" s="19">
        <v>42680</v>
      </c>
      <c r="AE244" s="28">
        <f t="shared" si="23"/>
        <v>5.2760504993405455E-3</v>
      </c>
      <c r="AF244" s="16">
        <v>129980000</v>
      </c>
      <c r="AG244" s="28">
        <f t="shared" si="24"/>
        <v>2.0411367561626648E-2</v>
      </c>
      <c r="AH244" s="16">
        <v>13171000</v>
      </c>
      <c r="AI244" s="28">
        <f t="shared" si="25"/>
        <v>1.8245071511403088E-2</v>
      </c>
      <c r="AJ244" s="7">
        <f t="shared" si="21"/>
        <v>1474099.49</v>
      </c>
      <c r="AK244" s="27">
        <f t="shared" si="21"/>
        <v>1.0506633418626565E-2</v>
      </c>
    </row>
    <row r="245" spans="1:37" ht="22.5" x14ac:dyDescent="0.55000000000000004">
      <c r="A245" s="7" t="s">
        <v>758</v>
      </c>
      <c r="B245" s="25">
        <v>0.63541666666666663</v>
      </c>
      <c r="C245" s="7">
        <v>1479590.59</v>
      </c>
      <c r="D245" s="27">
        <f t="shared" si="13"/>
        <v>3.7250538632234154E-3</v>
      </c>
      <c r="E245" s="7">
        <v>387047.27</v>
      </c>
      <c r="F245" s="27">
        <f t="shared" si="6"/>
        <v>9.2475419153590366E-3</v>
      </c>
      <c r="G245" s="9">
        <v>58930122.777000003</v>
      </c>
      <c r="H245" s="9">
        <v>52781.745999999999</v>
      </c>
      <c r="I245" s="24">
        <f t="shared" si="19"/>
        <v>52.781745999999998</v>
      </c>
      <c r="J245" s="24">
        <f t="shared" si="20"/>
        <v>54.98834633333334</v>
      </c>
      <c r="K245" s="11">
        <v>11251960.050000001</v>
      </c>
      <c r="L245" s="11">
        <v>3427742.9389999998</v>
      </c>
      <c r="M245" s="11">
        <v>1847919.8370000001</v>
      </c>
      <c r="N245" s="13">
        <v>57250</v>
      </c>
      <c r="O245" s="13">
        <f>159+246</f>
        <v>405</v>
      </c>
      <c r="P245" s="13">
        <f>139+138</f>
        <v>277</v>
      </c>
      <c r="Q245" s="13">
        <v>184</v>
      </c>
      <c r="R245" s="23">
        <v>5.9</v>
      </c>
      <c r="S245" s="13">
        <v>14</v>
      </c>
      <c r="T245" s="23">
        <v>0.11</v>
      </c>
      <c r="U245" s="15" t="s">
        <v>759</v>
      </c>
      <c r="V245" s="15" t="s">
        <v>760</v>
      </c>
      <c r="W245" s="20">
        <v>-2.1</v>
      </c>
      <c r="X245" s="20"/>
      <c r="Y245" s="20"/>
      <c r="Z245" s="20"/>
      <c r="AA245" s="16">
        <v>252660</v>
      </c>
      <c r="AB245" s="17">
        <f t="shared" si="22"/>
        <v>291.33945130214516</v>
      </c>
      <c r="AC245" s="27">
        <f t="shared" si="15"/>
        <v>1.464633069832022E-4</v>
      </c>
      <c r="AD245" s="19">
        <v>41516</v>
      </c>
      <c r="AE245" s="28">
        <f t="shared" si="23"/>
        <v>-2.7272727272727226E-2</v>
      </c>
      <c r="AF245" s="16">
        <v>132010000</v>
      </c>
      <c r="AG245" s="28">
        <f t="shared" si="24"/>
        <v>1.5617787351900336E-2</v>
      </c>
      <c r="AH245" s="16">
        <v>13210000</v>
      </c>
      <c r="AI245" s="28">
        <f t="shared" si="25"/>
        <v>2.9610507934096919E-3</v>
      </c>
      <c r="AJ245" s="7">
        <f t="shared" si="21"/>
        <v>1479590.59</v>
      </c>
      <c r="AK245" s="27">
        <f t="shared" si="21"/>
        <v>3.7250538632234154E-3</v>
      </c>
    </row>
    <row r="246" spans="1:37" ht="22.5" x14ac:dyDescent="0.55000000000000004">
      <c r="A246" s="7" t="s">
        <v>761</v>
      </c>
      <c r="B246" s="25">
        <v>0.73611111111111116</v>
      </c>
      <c r="C246" s="7">
        <v>1445969.94</v>
      </c>
      <c r="D246" s="27">
        <f t="shared" si="13"/>
        <v>-2.2722941215785997E-2</v>
      </c>
      <c r="E246" s="7">
        <v>380295.16</v>
      </c>
      <c r="F246" s="27">
        <f t="shared" si="6"/>
        <v>-1.7445181824948808E-2</v>
      </c>
      <c r="G246" s="9">
        <v>57593213.478</v>
      </c>
      <c r="H246" s="9">
        <v>49092.911999999997</v>
      </c>
      <c r="I246" s="24">
        <f t="shared" si="19"/>
        <v>49.092911999999998</v>
      </c>
      <c r="J246" s="24">
        <f t="shared" si="20"/>
        <v>55.099311666666672</v>
      </c>
      <c r="K246" s="11">
        <v>11106982.063999999</v>
      </c>
      <c r="L246" s="11">
        <v>3398804.3250000002</v>
      </c>
      <c r="M246" s="11">
        <v>35128.913</v>
      </c>
      <c r="N246" s="13">
        <v>58080</v>
      </c>
      <c r="O246" s="13">
        <f>64+77</f>
        <v>141</v>
      </c>
      <c r="P246" s="13">
        <f>309+159</f>
        <v>468</v>
      </c>
      <c r="Q246" s="13">
        <v>72</v>
      </c>
      <c r="R246" s="23">
        <v>1.89</v>
      </c>
      <c r="S246" s="13">
        <v>234</v>
      </c>
      <c r="T246" s="23">
        <v>8.16</v>
      </c>
      <c r="U246" s="15" t="s">
        <v>762</v>
      </c>
      <c r="V246" s="15" t="s">
        <v>763</v>
      </c>
      <c r="W246" s="20">
        <v>-10.220000000000001</v>
      </c>
      <c r="X246" s="20"/>
      <c r="Y246" s="20"/>
      <c r="Z246" s="20"/>
      <c r="AA246" s="16">
        <v>252331</v>
      </c>
      <c r="AB246" s="17">
        <f t="shared" si="22"/>
        <v>285.73183583071443</v>
      </c>
      <c r="AC246" s="27">
        <f t="shared" si="15"/>
        <v>-1.302145175334446E-3</v>
      </c>
      <c r="AD246" s="19">
        <v>40617</v>
      </c>
      <c r="AE246" s="28">
        <f t="shared" si="23"/>
        <v>-2.1654301955872479E-2</v>
      </c>
      <c r="AF246" s="16">
        <v>131920000</v>
      </c>
      <c r="AG246" s="28">
        <f t="shared" si="24"/>
        <v>-6.8176653283846811E-4</v>
      </c>
      <c r="AH246" s="16">
        <v>13263000</v>
      </c>
      <c r="AI246" s="28">
        <f t="shared" si="25"/>
        <v>4.0121120363361129E-3</v>
      </c>
      <c r="AJ246" s="7">
        <f t="shared" si="21"/>
        <v>1445969.94</v>
      </c>
      <c r="AK246" s="27">
        <f t="shared" si="21"/>
        <v>-2.2722941215785997E-2</v>
      </c>
    </row>
    <row r="247" spans="1:37" ht="22.5" x14ac:dyDescent="0.55000000000000004">
      <c r="A247" s="7" t="s">
        <v>764</v>
      </c>
      <c r="B247" s="25">
        <v>0.57638888888888895</v>
      </c>
      <c r="C247" s="7">
        <v>1454127.01</v>
      </c>
      <c r="D247" s="27">
        <f t="shared" si="13"/>
        <v>5.6412445199240935E-3</v>
      </c>
      <c r="E247" s="7">
        <v>382969.28</v>
      </c>
      <c r="F247" s="27">
        <f t="shared" si="6"/>
        <v>7.0316961173002568E-3</v>
      </c>
      <c r="G247" s="9">
        <v>57906295.994000003</v>
      </c>
      <c r="H247" s="9">
        <v>49284.73</v>
      </c>
      <c r="I247" s="24">
        <f t="shared" si="19"/>
        <v>49.284730000000003</v>
      </c>
      <c r="J247" s="24">
        <f t="shared" si="20"/>
        <v>56.530755222222226</v>
      </c>
      <c r="K247" s="11">
        <v>11167390.912</v>
      </c>
      <c r="L247" s="11">
        <v>3408544.571</v>
      </c>
      <c r="M247" s="11">
        <v>67260.535000000003</v>
      </c>
      <c r="N247" s="13">
        <v>49760</v>
      </c>
      <c r="O247" s="13">
        <f>261+180</f>
        <v>441</v>
      </c>
      <c r="P247" s="13">
        <f>69+105</f>
        <v>174</v>
      </c>
      <c r="Q247" s="13">
        <v>129</v>
      </c>
      <c r="R247" s="23">
        <v>3.3</v>
      </c>
      <c r="S247" s="13">
        <v>28</v>
      </c>
      <c r="T247" s="23">
        <v>0.251</v>
      </c>
      <c r="U247" s="15" t="s">
        <v>765</v>
      </c>
      <c r="V247" s="15" t="s">
        <v>766</v>
      </c>
      <c r="W247" s="20">
        <v>-0.21</v>
      </c>
      <c r="X247" s="20"/>
      <c r="Y247" s="20"/>
      <c r="Z247" s="20"/>
      <c r="AA247" s="16">
        <v>251055</v>
      </c>
      <c r="AB247" s="17">
        <f t="shared" si="22"/>
        <v>288.7105673139352</v>
      </c>
      <c r="AC247" s="27">
        <f t="shared" si="15"/>
        <v>-5.0568499312411141E-3</v>
      </c>
      <c r="AD247" s="19">
        <v>40152</v>
      </c>
      <c r="AE247" s="28">
        <f t="shared" si="23"/>
        <v>-1.1448408301942492E-2</v>
      </c>
      <c r="AF247" s="16">
        <v>131220000</v>
      </c>
      <c r="AG247" s="28">
        <f t="shared" si="24"/>
        <v>-5.306246209824117E-3</v>
      </c>
      <c r="AH247" s="16">
        <v>13166000</v>
      </c>
      <c r="AI247" s="28">
        <f t="shared" si="25"/>
        <v>-7.3135791299102637E-3</v>
      </c>
      <c r="AJ247" s="7">
        <f t="shared" si="21"/>
        <v>1454127.01</v>
      </c>
      <c r="AK247" s="27">
        <f t="shared" si="21"/>
        <v>5.6412445199240935E-3</v>
      </c>
    </row>
    <row r="248" spans="1:37" ht="22.5" x14ac:dyDescent="0.55000000000000004">
      <c r="A248" s="7" t="s">
        <v>767</v>
      </c>
      <c r="B248" s="25">
        <v>0.64236111111111105</v>
      </c>
      <c r="C248" s="7">
        <v>1467668.14</v>
      </c>
      <c r="D248" s="27">
        <f t="shared" si="13"/>
        <v>9.3122058161891896E-3</v>
      </c>
      <c r="E248" s="7">
        <v>387639.5</v>
      </c>
      <c r="F248" s="27">
        <f t="shared" si="6"/>
        <v>1.219476402911468E-2</v>
      </c>
      <c r="G248" s="9">
        <v>58447577.572999999</v>
      </c>
      <c r="H248" s="9">
        <v>46595.233</v>
      </c>
      <c r="I248" s="24">
        <f t="shared" si="19"/>
        <v>46.595233</v>
      </c>
      <c r="J248" s="24">
        <f t="shared" si="20"/>
        <v>55.366368444444454</v>
      </c>
      <c r="K248" s="11">
        <v>11280033.654999999</v>
      </c>
      <c r="L248" s="11">
        <v>3439111.1510000001</v>
      </c>
      <c r="M248" s="11">
        <v>49058.466</v>
      </c>
      <c r="N248" s="13">
        <v>5050</v>
      </c>
      <c r="O248" s="13">
        <f>287+190</f>
        <v>477</v>
      </c>
      <c r="P248" s="13">
        <f>80+43</f>
        <v>123</v>
      </c>
      <c r="Q248" s="13">
        <v>187</v>
      </c>
      <c r="R248" s="23">
        <v>5.01</v>
      </c>
      <c r="S248" s="13">
        <v>14</v>
      </c>
      <c r="T248" s="23">
        <v>0.157</v>
      </c>
      <c r="U248" s="15" t="s">
        <v>768</v>
      </c>
      <c r="V248" s="15" t="s">
        <v>769</v>
      </c>
      <c r="W248" s="20">
        <v>1.69</v>
      </c>
      <c r="X248" s="20"/>
      <c r="Y248" s="20"/>
      <c r="Z248" s="20"/>
      <c r="AA248" s="16">
        <v>255498</v>
      </c>
      <c r="AB248" s="17">
        <f t="shared" si="22"/>
        <v>286.36906112376613</v>
      </c>
      <c r="AC248" s="27">
        <f t="shared" si="15"/>
        <v>1.7697317320905848E-2</v>
      </c>
      <c r="AD248" s="19">
        <v>40416</v>
      </c>
      <c r="AE248" s="28">
        <f t="shared" si="23"/>
        <v>6.5750149432157734E-3</v>
      </c>
      <c r="AF248" s="16">
        <v>128910000</v>
      </c>
      <c r="AG248" s="28">
        <f t="shared" si="24"/>
        <v>-1.760402377686332E-2</v>
      </c>
      <c r="AH248" s="16">
        <v>13134000</v>
      </c>
      <c r="AI248" s="28">
        <f t="shared" si="25"/>
        <v>-2.4305028102689086E-3</v>
      </c>
      <c r="AJ248" s="7">
        <f t="shared" si="21"/>
        <v>1467668.14</v>
      </c>
      <c r="AK248" s="27">
        <f t="shared" si="21"/>
        <v>9.3122058161891896E-3</v>
      </c>
    </row>
    <row r="249" spans="1:37" ht="22.5" x14ac:dyDescent="0.55000000000000004">
      <c r="A249" s="7" t="s">
        <v>770</v>
      </c>
      <c r="B249" s="25">
        <v>0.54166666666666663</v>
      </c>
      <c r="C249" s="7">
        <v>1475055</v>
      </c>
      <c r="D249" s="27">
        <f t="shared" ref="D249:D397" si="26">C249/C248-1</f>
        <v>5.033058767631271E-3</v>
      </c>
      <c r="E249" s="7">
        <v>390992</v>
      </c>
      <c r="F249" s="27">
        <f t="shared" si="6"/>
        <v>8.6484994434261608E-3</v>
      </c>
      <c r="G249" s="9">
        <v>58729367</v>
      </c>
      <c r="H249" s="9">
        <v>59145</v>
      </c>
      <c r="I249" s="24">
        <f t="shared" si="19"/>
        <v>59.145000000000003</v>
      </c>
      <c r="J249" s="24">
        <f t="shared" si="20"/>
        <v>53.516192444444449</v>
      </c>
      <c r="K249" s="11">
        <v>11378561</v>
      </c>
      <c r="L249" s="11">
        <v>3449805</v>
      </c>
      <c r="M249" s="11">
        <v>54099</v>
      </c>
      <c r="N249" s="13">
        <v>5900</v>
      </c>
      <c r="O249" s="13">
        <v>473</v>
      </c>
      <c r="P249" s="13">
        <v>136</v>
      </c>
      <c r="Q249" s="13">
        <v>193</v>
      </c>
      <c r="R249" s="23">
        <v>5.7</v>
      </c>
      <c r="S249" s="13">
        <v>9</v>
      </c>
      <c r="T249" s="23">
        <v>0.2</v>
      </c>
      <c r="U249" s="15" t="s">
        <v>771</v>
      </c>
      <c r="V249" s="15" t="s">
        <v>772</v>
      </c>
      <c r="W249" s="20">
        <v>1.1599999999999999</v>
      </c>
      <c r="X249" s="20"/>
      <c r="Y249" s="20"/>
      <c r="Z249" s="20"/>
      <c r="AA249" s="16">
        <v>254717</v>
      </c>
      <c r="AB249" s="17">
        <f t="shared" si="22"/>
        <v>288.78218964576371</v>
      </c>
      <c r="AC249" s="27">
        <f t="shared" si="15"/>
        <v>-3.0567753955020871E-3</v>
      </c>
      <c r="AD249" s="19">
        <v>40390</v>
      </c>
      <c r="AE249" s="28">
        <f t="shared" si="23"/>
        <v>-6.4330958036418195E-4</v>
      </c>
      <c r="AF249" s="16">
        <v>129460000</v>
      </c>
      <c r="AG249" s="28">
        <f t="shared" si="24"/>
        <v>4.266542549065333E-3</v>
      </c>
      <c r="AH249" s="16">
        <v>13210000</v>
      </c>
      <c r="AI249" s="28">
        <f t="shared" si="25"/>
        <v>5.7865082990711247E-3</v>
      </c>
      <c r="AJ249" s="7">
        <f t="shared" ref="AJ249:AK280" si="27">C249</f>
        <v>1475055</v>
      </c>
      <c r="AK249" s="27">
        <f t="shared" si="27"/>
        <v>5.033058767631271E-3</v>
      </c>
    </row>
    <row r="250" spans="1:37" ht="22.5" x14ac:dyDescent="0.55000000000000004">
      <c r="A250" s="7" t="s">
        <v>773</v>
      </c>
      <c r="B250" s="25">
        <v>0.55555555555555558</v>
      </c>
      <c r="C250" s="7">
        <v>1501842.6</v>
      </c>
      <c r="D250" s="27">
        <f t="shared" si="26"/>
        <v>1.8160407578022619E-2</v>
      </c>
      <c r="E250" s="7">
        <v>397775</v>
      </c>
      <c r="F250" s="27">
        <f t="shared" si="6"/>
        <v>1.7348181036952237E-2</v>
      </c>
      <c r="G250" s="9">
        <v>59785914.913999997</v>
      </c>
      <c r="H250" s="9">
        <v>70853.259000000005</v>
      </c>
      <c r="I250" s="24">
        <f t="shared" si="19"/>
        <v>70.853259000000008</v>
      </c>
      <c r="J250" s="24">
        <f t="shared" si="20"/>
        <v>54.829854888888889</v>
      </c>
      <c r="K250" s="11">
        <v>11551914.767999999</v>
      </c>
      <c r="L250" s="11">
        <v>3468954.8110000002</v>
      </c>
      <c r="M250" s="11">
        <v>1829253.733</v>
      </c>
      <c r="N250" s="13">
        <v>7370</v>
      </c>
      <c r="O250" s="13">
        <f>249+193</f>
        <v>442</v>
      </c>
      <c r="P250" s="13">
        <f>104+124</f>
        <v>228</v>
      </c>
      <c r="Q250" s="13">
        <v>111</v>
      </c>
      <c r="R250" s="23">
        <v>3.18</v>
      </c>
      <c r="S250" s="13">
        <v>23</v>
      </c>
      <c r="T250" s="23">
        <v>0.186</v>
      </c>
      <c r="U250" s="15" t="s">
        <v>774</v>
      </c>
      <c r="V250" s="15" t="s">
        <v>775</v>
      </c>
      <c r="W250" s="20">
        <v>0.37</v>
      </c>
      <c r="X250" s="20"/>
      <c r="Y250" s="20"/>
      <c r="Z250" s="20"/>
      <c r="AA250" s="16">
        <v>253266</v>
      </c>
      <c r="AB250" s="17">
        <f t="shared" si="22"/>
        <v>295.36844461159416</v>
      </c>
      <c r="AC250" s="27">
        <f t="shared" si="15"/>
        <v>-5.6965180965542483E-3</v>
      </c>
      <c r="AD250" s="19">
        <v>39007</v>
      </c>
      <c r="AE250" s="28">
        <f t="shared" si="23"/>
        <v>-3.4241148799207699E-2</v>
      </c>
      <c r="AF250" s="16">
        <v>133530000</v>
      </c>
      <c r="AG250" s="28">
        <f t="shared" si="24"/>
        <v>3.1438282094855552E-2</v>
      </c>
      <c r="AH250" s="16">
        <v>13192000</v>
      </c>
      <c r="AI250" s="28">
        <f t="shared" si="25"/>
        <v>-1.3626040878123025E-3</v>
      </c>
      <c r="AJ250" s="7">
        <f t="shared" si="27"/>
        <v>1501842.6</v>
      </c>
      <c r="AK250" s="27">
        <f t="shared" si="27"/>
        <v>1.8160407578022619E-2</v>
      </c>
    </row>
    <row r="251" spans="1:37" ht="22.5" x14ac:dyDescent="0.55000000000000004">
      <c r="A251" s="7" t="s">
        <v>776</v>
      </c>
      <c r="B251" s="25">
        <v>0.57430555555555551</v>
      </c>
      <c r="C251" s="7">
        <v>1513064.36</v>
      </c>
      <c r="D251" s="27">
        <f t="shared" si="26"/>
        <v>7.4719947350008198E-3</v>
      </c>
      <c r="E251" s="7">
        <v>400574.56</v>
      </c>
      <c r="F251" s="27">
        <f t="shared" si="6"/>
        <v>7.0380491483879037E-3</v>
      </c>
      <c r="G251" s="9">
        <v>60232253.163000003</v>
      </c>
      <c r="H251" s="9">
        <v>60110.137999999999</v>
      </c>
      <c r="I251" s="24">
        <f t="shared" si="19"/>
        <v>60.110137999999999</v>
      </c>
      <c r="J251" s="24">
        <f t="shared" si="20"/>
        <v>54.913640333333333</v>
      </c>
      <c r="K251" s="11">
        <v>11622365.977</v>
      </c>
      <c r="L251" s="11">
        <v>3488604.0090000001</v>
      </c>
      <c r="M251" s="11">
        <v>25190.277999999998</v>
      </c>
      <c r="N251" s="13">
        <v>58770</v>
      </c>
      <c r="O251" s="13">
        <f>230+148</f>
        <v>378</v>
      </c>
      <c r="P251" s="13">
        <f>148+88</f>
        <v>236</v>
      </c>
      <c r="Q251" s="13">
        <v>131</v>
      </c>
      <c r="R251" s="23">
        <v>4.2</v>
      </c>
      <c r="S251" s="13">
        <v>22</v>
      </c>
      <c r="T251" s="23">
        <v>0.152</v>
      </c>
      <c r="U251" s="15" t="s">
        <v>777</v>
      </c>
      <c r="V251" s="15" t="s">
        <v>778</v>
      </c>
      <c r="W251" s="20">
        <v>-0.57999999999999996</v>
      </c>
      <c r="X251" s="20"/>
      <c r="Y251" s="20"/>
      <c r="Z251" s="20"/>
      <c r="AA251" s="16">
        <v>252805</v>
      </c>
      <c r="AB251" s="17">
        <f t="shared" si="22"/>
        <v>298.02900713593482</v>
      </c>
      <c r="AC251" s="27">
        <f t="shared" si="15"/>
        <v>-1.8202206375904639E-3</v>
      </c>
      <c r="AD251" s="19">
        <v>40764</v>
      </c>
      <c r="AE251" s="28">
        <f t="shared" si="23"/>
        <v>4.5043197374830202E-2</v>
      </c>
      <c r="AF251" s="16">
        <v>131730000</v>
      </c>
      <c r="AG251" s="28">
        <f t="shared" si="24"/>
        <v>-1.3480116827679134E-2</v>
      </c>
      <c r="AH251" s="16">
        <v>13085000</v>
      </c>
      <c r="AI251" s="28">
        <f t="shared" si="25"/>
        <v>-8.1109763493025788E-3</v>
      </c>
      <c r="AJ251" s="7">
        <f t="shared" si="27"/>
        <v>1513064.36</v>
      </c>
      <c r="AK251" s="27">
        <f t="shared" si="27"/>
        <v>7.4719947350008198E-3</v>
      </c>
    </row>
    <row r="252" spans="1:37" ht="22.5" x14ac:dyDescent="0.55000000000000004">
      <c r="A252" s="7" t="s">
        <v>779</v>
      </c>
      <c r="B252" s="25">
        <v>0.64374999999999993</v>
      </c>
      <c r="C252" s="7">
        <v>1512287.31</v>
      </c>
      <c r="D252" s="27">
        <f t="shared" si="26"/>
        <v>-5.1356044101125153E-4</v>
      </c>
      <c r="E252" s="7">
        <v>401436.73</v>
      </c>
      <c r="F252" s="27">
        <f t="shared" si="6"/>
        <v>2.1523333883208817E-3</v>
      </c>
      <c r="G252" s="9">
        <v>60196252.821999997</v>
      </c>
      <c r="H252" s="9">
        <v>56575.959000000003</v>
      </c>
      <c r="I252" s="24">
        <f t="shared" si="19"/>
        <v>56.575959000000005</v>
      </c>
      <c r="J252" s="24">
        <f t="shared" si="20"/>
        <v>55.579591333333333</v>
      </c>
      <c r="K252" s="11">
        <v>11620716.357000001</v>
      </c>
      <c r="L252" s="11">
        <v>3510145.1970000002</v>
      </c>
      <c r="M252" s="11">
        <v>20269.274000000001</v>
      </c>
      <c r="N252" s="13">
        <v>63750</v>
      </c>
      <c r="O252" s="13">
        <f>209+134</f>
        <v>343</v>
      </c>
      <c r="P252" s="13">
        <f>95+164</f>
        <v>259</v>
      </c>
      <c r="Q252" s="13">
        <v>117</v>
      </c>
      <c r="R252" s="23">
        <v>4.2</v>
      </c>
      <c r="S252" s="13">
        <v>19</v>
      </c>
      <c r="T252" s="23">
        <v>0.24</v>
      </c>
      <c r="U252" s="15" t="s">
        <v>780</v>
      </c>
      <c r="V252" s="15" t="s">
        <v>781</v>
      </c>
      <c r="W252" s="20">
        <v>-1.65</v>
      </c>
      <c r="X252" s="20"/>
      <c r="Y252" s="20"/>
      <c r="Z252" s="20"/>
      <c r="AA252" s="16">
        <v>252750</v>
      </c>
      <c r="AB252" s="17">
        <f t="shared" si="22"/>
        <v>298.03012611671613</v>
      </c>
      <c r="AC252" s="27">
        <f t="shared" si="15"/>
        <v>-2.1755898815289942E-4</v>
      </c>
      <c r="AD252" s="19">
        <v>41816</v>
      </c>
      <c r="AE252" s="28">
        <f t="shared" si="23"/>
        <v>2.5807084682563097E-2</v>
      </c>
      <c r="AF252" s="16">
        <v>130990000</v>
      </c>
      <c r="AG252" s="28">
        <f t="shared" si="24"/>
        <v>-5.6175510513930549E-3</v>
      </c>
      <c r="AH252" s="16">
        <v>13085000</v>
      </c>
      <c r="AI252" s="28">
        <f t="shared" si="25"/>
        <v>0</v>
      </c>
      <c r="AJ252" s="7">
        <f t="shared" si="27"/>
        <v>1512287.31</v>
      </c>
      <c r="AK252" s="27">
        <f t="shared" si="27"/>
        <v>-5.1356044101125153E-4</v>
      </c>
    </row>
    <row r="253" spans="1:37" ht="22.5" x14ac:dyDescent="0.55000000000000004">
      <c r="A253" s="7" t="s">
        <v>782</v>
      </c>
      <c r="B253" s="25">
        <v>0.57638888888888895</v>
      </c>
      <c r="C253" s="7">
        <v>1504731.07</v>
      </c>
      <c r="D253" s="27">
        <f t="shared" si="26"/>
        <v>-4.9965637812565689E-3</v>
      </c>
      <c r="E253" s="7">
        <v>402414.43</v>
      </c>
      <c r="F253" s="27">
        <f t="shared" si="6"/>
        <v>2.4355021026600809E-3</v>
      </c>
      <c r="G253" s="9">
        <v>59897429.001999997</v>
      </c>
      <c r="H253" s="9">
        <v>50070.527999999998</v>
      </c>
      <c r="I253" s="24">
        <f t="shared" si="19"/>
        <v>50.070527999999996</v>
      </c>
      <c r="J253" s="24">
        <f t="shared" si="20"/>
        <v>54.945500555555554</v>
      </c>
      <c r="K253" s="11">
        <v>11610408.27</v>
      </c>
      <c r="L253" s="11">
        <v>3518530.5729999999</v>
      </c>
      <c r="M253" s="11">
        <v>26530.65</v>
      </c>
      <c r="N253" s="13">
        <v>53010</v>
      </c>
      <c r="O253" s="13">
        <f>174+124</f>
        <v>298</v>
      </c>
      <c r="P253" s="13">
        <f>112+197</f>
        <v>309</v>
      </c>
      <c r="Q253" s="13">
        <v>145</v>
      </c>
      <c r="R253" s="23">
        <v>4.04</v>
      </c>
      <c r="S253" s="13">
        <v>26</v>
      </c>
      <c r="T253" s="23">
        <v>0.25800000000000001</v>
      </c>
      <c r="U253" s="15" t="s">
        <v>783</v>
      </c>
      <c r="V253" s="15" t="s">
        <v>784</v>
      </c>
      <c r="W253" s="20">
        <v>-2.87</v>
      </c>
      <c r="X253" s="20"/>
      <c r="Y253" s="20"/>
      <c r="Z253" s="20"/>
      <c r="AA253" s="16">
        <v>253253</v>
      </c>
      <c r="AB253" s="17">
        <f t="shared" si="22"/>
        <v>296.25065782044044</v>
      </c>
      <c r="AC253" s="27">
        <f t="shared" si="15"/>
        <v>1.9901088031650804E-3</v>
      </c>
      <c r="AD253" s="19">
        <v>39744</v>
      </c>
      <c r="AE253" s="28">
        <f t="shared" si="23"/>
        <v>-4.9550411325808286E-2</v>
      </c>
      <c r="AF253" s="16">
        <v>130740000</v>
      </c>
      <c r="AG253" s="28">
        <f t="shared" si="24"/>
        <v>-1.9085426368424807E-3</v>
      </c>
      <c r="AH253" s="16">
        <v>12942000</v>
      </c>
      <c r="AI253" s="28">
        <f t="shared" si="25"/>
        <v>-1.0928544134505169E-2</v>
      </c>
      <c r="AJ253" s="7">
        <f t="shared" si="27"/>
        <v>1504731.07</v>
      </c>
      <c r="AK253" s="27">
        <f t="shared" si="27"/>
        <v>-4.9965637812565689E-3</v>
      </c>
    </row>
    <row r="254" spans="1:37" ht="22.5" x14ac:dyDescent="0.55000000000000004">
      <c r="A254" s="7" t="s">
        <v>785</v>
      </c>
      <c r="B254" s="25">
        <v>0.62847222222222221</v>
      </c>
      <c r="C254" s="7">
        <v>1507301.5</v>
      </c>
      <c r="D254" s="27">
        <f t="shared" si="26"/>
        <v>1.7082321560621949E-3</v>
      </c>
      <c r="E254" s="7">
        <v>405517.62</v>
      </c>
      <c r="F254" s="27">
        <f t="shared" si="6"/>
        <v>7.711428240781526E-3</v>
      </c>
      <c r="G254" s="9">
        <v>59962828.906999998</v>
      </c>
      <c r="H254" s="9">
        <v>51224.108</v>
      </c>
      <c r="I254" s="24">
        <f t="shared" si="19"/>
        <v>51.224108000000001</v>
      </c>
      <c r="J254" s="24">
        <f t="shared" si="20"/>
        <v>54.772429666666667</v>
      </c>
      <c r="K254" s="11">
        <v>11424739.91</v>
      </c>
      <c r="L254" s="11">
        <v>3524482.7170000002</v>
      </c>
      <c r="M254" s="11">
        <v>22763.331999999999</v>
      </c>
      <c r="N254" s="13">
        <v>54710</v>
      </c>
      <c r="O254" s="13">
        <f>235+201</f>
        <v>436</v>
      </c>
      <c r="P254" s="13">
        <f>109+125</f>
        <v>234</v>
      </c>
      <c r="Q254" s="13">
        <v>171</v>
      </c>
      <c r="R254" s="23">
        <v>5.2</v>
      </c>
      <c r="S254" s="13">
        <v>12</v>
      </c>
      <c r="T254" s="23">
        <v>0.17499999999999999</v>
      </c>
      <c r="U254" s="15" t="s">
        <v>786</v>
      </c>
      <c r="V254" s="15" t="s">
        <v>787</v>
      </c>
      <c r="W254" s="20">
        <v>0.42</v>
      </c>
      <c r="X254" s="20"/>
      <c r="Y254" s="20"/>
      <c r="Z254" s="20"/>
      <c r="AA254" s="16">
        <v>253658</v>
      </c>
      <c r="AB254" s="17">
        <f t="shared" si="22"/>
        <v>295.32698173919209</v>
      </c>
      <c r="AC254" s="27">
        <f t="shared" si="15"/>
        <v>1.5991913225115173E-3</v>
      </c>
      <c r="AD254" s="19">
        <v>38539</v>
      </c>
      <c r="AE254" s="28">
        <f t="shared" si="23"/>
        <v>-3.0319041867954866E-2</v>
      </c>
      <c r="AF254" s="16">
        <v>129600000</v>
      </c>
      <c r="AG254" s="28">
        <f t="shared" si="24"/>
        <v>-8.7195961450206028E-3</v>
      </c>
      <c r="AH254" s="16">
        <v>12806000</v>
      </c>
      <c r="AI254" s="28">
        <f t="shared" si="25"/>
        <v>-1.0508422191315092E-2</v>
      </c>
      <c r="AJ254" s="7">
        <f t="shared" si="27"/>
        <v>1507301.5</v>
      </c>
      <c r="AK254" s="27">
        <f t="shared" si="27"/>
        <v>1.7082321560621949E-3</v>
      </c>
    </row>
    <row r="255" spans="1:37" ht="22.5" x14ac:dyDescent="0.55000000000000004">
      <c r="A255" s="7" t="s">
        <v>788</v>
      </c>
      <c r="B255" s="25">
        <v>0.58124999999999993</v>
      </c>
      <c r="C255" s="7">
        <v>1522775.58</v>
      </c>
      <c r="D255" s="27">
        <f t="shared" si="26"/>
        <v>1.0266081470760913E-2</v>
      </c>
      <c r="E255" s="7">
        <v>410310.31</v>
      </c>
      <c r="F255" s="27">
        <f t="shared" si="6"/>
        <v>1.1818697298529246E-2</v>
      </c>
      <c r="G255" s="9">
        <v>60583788.756999999</v>
      </c>
      <c r="H255" s="9">
        <v>64786.523000000001</v>
      </c>
      <c r="I255" s="24">
        <f t="shared" si="19"/>
        <v>64.786523000000003</v>
      </c>
      <c r="J255" s="24">
        <f t="shared" si="20"/>
        <v>56.516164222222223</v>
      </c>
      <c r="K255" s="11">
        <v>11465825.392999999</v>
      </c>
      <c r="L255" s="11">
        <v>3543273.4070000001</v>
      </c>
      <c r="M255" s="11">
        <v>24672.699000000001</v>
      </c>
      <c r="N255" s="13">
        <v>67610</v>
      </c>
      <c r="O255" s="13">
        <f>249+152</f>
        <v>401</v>
      </c>
      <c r="P255" s="13">
        <f>119+93</f>
        <v>212</v>
      </c>
      <c r="Q255" s="13">
        <v>169</v>
      </c>
      <c r="R255" s="23">
        <v>6.6</v>
      </c>
      <c r="S255" s="13">
        <v>10</v>
      </c>
      <c r="T255" s="23">
        <v>0.13</v>
      </c>
      <c r="U255" s="15" t="s">
        <v>789</v>
      </c>
      <c r="V255" s="15" t="s">
        <v>790</v>
      </c>
      <c r="W255" s="20">
        <v>1.51</v>
      </c>
      <c r="X255" s="20"/>
      <c r="Y255" s="20"/>
      <c r="Z255" s="20"/>
      <c r="AA255" s="16">
        <v>253068</v>
      </c>
      <c r="AB255" s="17">
        <f t="shared" si="22"/>
        <v>298.70583225457187</v>
      </c>
      <c r="AC255" s="27">
        <f t="shared" si="15"/>
        <v>-2.3259664587752527E-3</v>
      </c>
      <c r="AD255" s="19">
        <v>40495</v>
      </c>
      <c r="AE255" s="28">
        <f t="shared" si="23"/>
        <v>5.0753781883287052E-2</v>
      </c>
      <c r="AF255" s="16">
        <v>130940000</v>
      </c>
      <c r="AG255" s="28">
        <f t="shared" si="24"/>
        <v>1.0339506172839519E-2</v>
      </c>
      <c r="AH255" s="16">
        <v>12868000</v>
      </c>
      <c r="AI255" s="28">
        <f t="shared" si="25"/>
        <v>4.8414805559893193E-3</v>
      </c>
      <c r="AJ255" s="7">
        <f t="shared" si="27"/>
        <v>1522775.58</v>
      </c>
      <c r="AK255" s="27">
        <f t="shared" si="27"/>
        <v>1.0266081470760913E-2</v>
      </c>
    </row>
    <row r="256" spans="1:37" ht="22.5" x14ac:dyDescent="0.55000000000000004">
      <c r="A256" s="7" t="s">
        <v>791</v>
      </c>
      <c r="B256" s="25">
        <v>0.60138888888888886</v>
      </c>
      <c r="C256" s="7">
        <v>1521432.89</v>
      </c>
      <c r="D256" s="27">
        <f t="shared" si="26"/>
        <v>-8.81738594731174E-4</v>
      </c>
      <c r="E256" s="7">
        <v>411689.17</v>
      </c>
      <c r="F256" s="27">
        <f t="shared" si="6"/>
        <v>3.3605297415022495E-3</v>
      </c>
      <c r="G256" s="9">
        <v>60533102.663000003</v>
      </c>
      <c r="H256" s="9">
        <v>62246.156000000003</v>
      </c>
      <c r="I256" s="24">
        <f t="shared" si="19"/>
        <v>62.246155999999999</v>
      </c>
      <c r="J256" s="24">
        <f t="shared" si="20"/>
        <v>57.956322666666679</v>
      </c>
      <c r="K256" s="11">
        <v>11474308.791999999</v>
      </c>
      <c r="L256" s="11">
        <v>3559249.3160000001</v>
      </c>
      <c r="M256" s="11">
        <v>66669.423999999999</v>
      </c>
      <c r="N256" s="13">
        <v>62820</v>
      </c>
      <c r="O256" s="13">
        <f>176+134</f>
        <v>310</v>
      </c>
      <c r="P256" s="13">
        <f>116+191</f>
        <v>307</v>
      </c>
      <c r="Q256" s="13">
        <v>146</v>
      </c>
      <c r="R256" s="23">
        <v>4.03</v>
      </c>
      <c r="S256" s="13">
        <v>18</v>
      </c>
      <c r="T256" s="23">
        <v>8.8999999999999996E-2</v>
      </c>
      <c r="U256" s="15" t="s">
        <v>792</v>
      </c>
      <c r="V256" s="15" t="s">
        <v>793</v>
      </c>
      <c r="W256" s="20">
        <v>-2.63</v>
      </c>
      <c r="X256" s="20"/>
      <c r="Y256" s="20"/>
      <c r="Z256" s="20"/>
      <c r="AA256" s="16">
        <v>253300</v>
      </c>
      <c r="AB256" s="17">
        <f t="shared" si="22"/>
        <v>298.32870418870903</v>
      </c>
      <c r="AC256" s="27">
        <f t="shared" si="15"/>
        <v>9.1674964831578443E-4</v>
      </c>
      <c r="AD256" s="19">
        <v>39018</v>
      </c>
      <c r="AE256" s="28">
        <f t="shared" si="23"/>
        <v>-3.647363872082976E-2</v>
      </c>
      <c r="AF256" s="16">
        <v>131460000</v>
      </c>
      <c r="AG256" s="28">
        <f t="shared" si="24"/>
        <v>3.9712845578128153E-3</v>
      </c>
      <c r="AH256" s="16">
        <v>12952000</v>
      </c>
      <c r="AI256" s="28">
        <f t="shared" si="25"/>
        <v>6.52782095119675E-3</v>
      </c>
      <c r="AJ256" s="7">
        <f t="shared" si="27"/>
        <v>1521432.89</v>
      </c>
      <c r="AK256" s="27">
        <f t="shared" si="27"/>
        <v>-8.81738594731174E-4</v>
      </c>
    </row>
    <row r="257" spans="1:37" ht="22.5" x14ac:dyDescent="0.55000000000000004">
      <c r="A257" s="7" t="s">
        <v>794</v>
      </c>
      <c r="B257" s="25">
        <v>0.5625</v>
      </c>
      <c r="C257" s="7">
        <v>1522484.41</v>
      </c>
      <c r="D257" s="27">
        <f t="shared" si="26"/>
        <v>6.9113794430997189E-4</v>
      </c>
      <c r="E257" s="7">
        <v>415115.42</v>
      </c>
      <c r="F257" s="27">
        <f t="shared" si="6"/>
        <v>8.3224195574540527E-3</v>
      </c>
      <c r="G257" s="9">
        <v>60584995.158</v>
      </c>
      <c r="H257" s="9">
        <v>50072</v>
      </c>
      <c r="I257" s="24">
        <f t="shared" si="19"/>
        <v>50.072000000000003</v>
      </c>
      <c r="J257" s="24">
        <f t="shared" si="20"/>
        <v>58.34263011111112</v>
      </c>
      <c r="K257" s="11">
        <v>11507595.058</v>
      </c>
      <c r="L257" s="11">
        <v>3583957.0210000002</v>
      </c>
      <c r="M257" s="11">
        <v>67869.846000000005</v>
      </c>
      <c r="N257" s="13">
        <v>6006</v>
      </c>
      <c r="O257" s="13">
        <v>378</v>
      </c>
      <c r="P257" s="13">
        <v>233</v>
      </c>
      <c r="Q257" s="13">
        <v>181</v>
      </c>
      <c r="R257" s="23">
        <v>8.3000000000000007</v>
      </c>
      <c r="S257" s="13">
        <v>17</v>
      </c>
      <c r="T257" s="23">
        <v>0.1</v>
      </c>
      <c r="U257" s="15" t="s">
        <v>795</v>
      </c>
      <c r="V257" s="15" t="s">
        <v>796</v>
      </c>
      <c r="W257" s="20">
        <v>-0.33</v>
      </c>
      <c r="X257" s="20"/>
      <c r="Y257" s="20"/>
      <c r="Z257" s="20"/>
      <c r="AA257" s="16">
        <v>256642</v>
      </c>
      <c r="AB257" s="17">
        <f t="shared" si="22"/>
        <v>294.8720288845941</v>
      </c>
      <c r="AC257" s="27">
        <f t="shared" si="15"/>
        <v>1.3193841294907305E-2</v>
      </c>
      <c r="AD257" s="19">
        <v>38635</v>
      </c>
      <c r="AE257" s="28">
        <f t="shared" si="23"/>
        <v>-9.8159823671125634E-3</v>
      </c>
      <c r="AF257" s="16">
        <v>126980000</v>
      </c>
      <c r="AG257" s="28">
        <f t="shared" si="24"/>
        <v>-3.40788072417465E-2</v>
      </c>
      <c r="AH257" s="16">
        <v>12905000</v>
      </c>
      <c r="AI257" s="28">
        <f t="shared" si="25"/>
        <v>-3.6287831995058806E-3</v>
      </c>
      <c r="AJ257" s="7">
        <f t="shared" si="27"/>
        <v>1522484.41</v>
      </c>
      <c r="AK257" s="27">
        <f t="shared" si="27"/>
        <v>6.9113794430997189E-4</v>
      </c>
    </row>
    <row r="258" spans="1:37" ht="22.5" x14ac:dyDescent="0.55000000000000004">
      <c r="A258" s="7" t="s">
        <v>797</v>
      </c>
      <c r="B258" s="25"/>
      <c r="C258" s="7">
        <v>1523471.2</v>
      </c>
      <c r="D258" s="27">
        <f t="shared" si="26"/>
        <v>6.4814456786455032E-4</v>
      </c>
      <c r="E258" s="7">
        <v>419110</v>
      </c>
      <c r="F258" s="27">
        <f t="shared" si="6"/>
        <v>9.622817673214934E-3</v>
      </c>
      <c r="G258" s="9">
        <v>60702974.166000001</v>
      </c>
      <c r="H258" s="9">
        <v>54146.186000000002</v>
      </c>
      <c r="I258" s="24">
        <f t="shared" si="19"/>
        <v>54.146186</v>
      </c>
      <c r="J258" s="24">
        <f t="shared" si="20"/>
        <v>57.787206333333337</v>
      </c>
      <c r="K258" s="11">
        <v>11487019.356000001</v>
      </c>
      <c r="L258" s="11">
        <v>3602261.514</v>
      </c>
      <c r="M258" s="11">
        <v>1739205.787</v>
      </c>
      <c r="N258" s="13">
        <v>62840</v>
      </c>
      <c r="O258" s="13"/>
      <c r="P258" s="13"/>
      <c r="Q258" s="13"/>
      <c r="R258" s="23"/>
      <c r="S258" s="13"/>
      <c r="T258" s="23"/>
      <c r="U258" s="15"/>
      <c r="V258" s="15"/>
      <c r="W258" s="20">
        <v>-0.21</v>
      </c>
      <c r="X258" s="20"/>
      <c r="Y258" s="20"/>
      <c r="Z258" s="20"/>
      <c r="AA258" s="16">
        <v>256302</v>
      </c>
      <c r="AB258" s="17">
        <f t="shared" si="22"/>
        <v>295.71464536367256</v>
      </c>
      <c r="AC258" s="27">
        <f t="shared" si="15"/>
        <v>-1.3248026433708704E-3</v>
      </c>
      <c r="AD258" s="19">
        <v>37985</v>
      </c>
      <c r="AE258" s="28">
        <f t="shared" si="23"/>
        <v>-1.682412320434834E-2</v>
      </c>
      <c r="AF258" s="16">
        <v>131250000</v>
      </c>
      <c r="AG258" s="28">
        <f t="shared" si="24"/>
        <v>3.3627342888643774E-2</v>
      </c>
      <c r="AH258" s="16">
        <v>12965000</v>
      </c>
      <c r="AI258" s="28">
        <f t="shared" si="25"/>
        <v>4.6493607129018955E-3</v>
      </c>
      <c r="AJ258" s="7">
        <f t="shared" si="27"/>
        <v>1523471.2</v>
      </c>
      <c r="AK258" s="27">
        <f t="shared" si="27"/>
        <v>6.4814456786455032E-4</v>
      </c>
    </row>
    <row r="259" spans="1:37" ht="22.5" x14ac:dyDescent="0.55000000000000004">
      <c r="A259" s="7" t="s">
        <v>798</v>
      </c>
      <c r="B259" s="25">
        <v>0.59375</v>
      </c>
      <c r="C259" s="7">
        <v>1529785</v>
      </c>
      <c r="D259" s="27">
        <f t="shared" si="26"/>
        <v>4.1443513996195502E-3</v>
      </c>
      <c r="E259" s="7">
        <v>422473</v>
      </c>
      <c r="F259" s="27">
        <f t="shared" si="6"/>
        <v>8.0241464054782163E-3</v>
      </c>
      <c r="G259" s="9">
        <v>60872510.898999996</v>
      </c>
      <c r="H259" s="9">
        <v>54377.536</v>
      </c>
      <c r="I259" s="24">
        <f t="shared" si="19"/>
        <v>54.377535999999999</v>
      </c>
      <c r="J259" s="24">
        <f t="shared" si="20"/>
        <v>55.956570444444445</v>
      </c>
      <c r="K259" s="11">
        <v>11474859.338</v>
      </c>
      <c r="L259" s="11">
        <v>3604739.08</v>
      </c>
      <c r="M259" s="11">
        <v>22344.04</v>
      </c>
      <c r="N259" s="13">
        <v>54290</v>
      </c>
      <c r="O259" s="13">
        <f>249+155</f>
        <v>404</v>
      </c>
      <c r="P259" s="13">
        <f>115+80</f>
        <v>195</v>
      </c>
      <c r="Q259" s="13">
        <v>145</v>
      </c>
      <c r="R259" s="23">
        <v>8.5500000000000007</v>
      </c>
      <c r="S259" s="13">
        <v>14</v>
      </c>
      <c r="T259" s="23">
        <v>0.624</v>
      </c>
      <c r="U259" s="15" t="s">
        <v>799</v>
      </c>
      <c r="V259" s="15" t="s">
        <v>800</v>
      </c>
      <c r="W259" s="20">
        <v>-0.17</v>
      </c>
      <c r="X259" s="20"/>
      <c r="Y259" s="20"/>
      <c r="Z259" s="20"/>
      <c r="AA259" s="16">
        <v>258140</v>
      </c>
      <c r="AB259" s="17">
        <f t="shared" si="22"/>
        <v>294.22836180754632</v>
      </c>
      <c r="AC259" s="27">
        <f t="shared" si="15"/>
        <v>7.1712276923316942E-3</v>
      </c>
      <c r="AD259" s="19">
        <v>38957</v>
      </c>
      <c r="AE259" s="28">
        <f t="shared" si="23"/>
        <v>2.5589048308542806E-2</v>
      </c>
      <c r="AF259" s="16">
        <v>130960000</v>
      </c>
      <c r="AG259" s="28">
        <f t="shared" si="24"/>
        <v>-2.2095238095237724E-3</v>
      </c>
      <c r="AH259" s="16">
        <v>12968000</v>
      </c>
      <c r="AI259" s="28">
        <f t="shared" si="25"/>
        <v>2.3139220979562225E-4</v>
      </c>
      <c r="AJ259" s="7">
        <f t="shared" si="27"/>
        <v>1529785</v>
      </c>
      <c r="AK259" s="27">
        <f t="shared" si="27"/>
        <v>4.1443513996195502E-3</v>
      </c>
    </row>
    <row r="260" spans="1:37" ht="22.5" x14ac:dyDescent="0.55000000000000004">
      <c r="A260" s="7" t="s">
        <v>801</v>
      </c>
      <c r="B260" s="25">
        <v>0.57222222222222219</v>
      </c>
      <c r="C260" s="7">
        <v>1543847.5</v>
      </c>
      <c r="D260" s="27">
        <f t="shared" si="26"/>
        <v>9.192468222658734E-3</v>
      </c>
      <c r="E260" s="7">
        <v>426322.98</v>
      </c>
      <c r="F260" s="27">
        <f t="shared" si="6"/>
        <v>9.1129610649673953E-3</v>
      </c>
      <c r="G260" s="9">
        <v>61414620.789999999</v>
      </c>
      <c r="H260" s="9">
        <v>74408.232999999993</v>
      </c>
      <c r="I260" s="24">
        <f t="shared" si="19"/>
        <v>74.408232999999996</v>
      </c>
      <c r="J260" s="24">
        <f t="shared" si="20"/>
        <v>57.545247666666668</v>
      </c>
      <c r="K260" s="11">
        <v>11560147.108999999</v>
      </c>
      <c r="L260" s="11">
        <v>3601796.2</v>
      </c>
      <c r="M260" s="11">
        <v>27226.185000000001</v>
      </c>
      <c r="N260" s="13">
        <v>70330</v>
      </c>
      <c r="O260" s="13">
        <f>221+161</f>
        <v>382</v>
      </c>
      <c r="P260" s="13">
        <f>136+74</f>
        <v>210</v>
      </c>
      <c r="Q260" s="13">
        <v>150</v>
      </c>
      <c r="R260" s="23">
        <v>10.199999999999999</v>
      </c>
      <c r="S260" s="13">
        <v>19</v>
      </c>
      <c r="T260" s="23">
        <v>0.249</v>
      </c>
      <c r="U260" s="15" t="s">
        <v>802</v>
      </c>
      <c r="V260" s="15" t="s">
        <v>803</v>
      </c>
      <c r="W260" s="20">
        <v>0.93</v>
      </c>
      <c r="X260" s="20"/>
      <c r="Y260" s="20"/>
      <c r="Z260" s="20"/>
      <c r="AA260" s="16">
        <v>257075</v>
      </c>
      <c r="AB260" s="17">
        <f t="shared" si="22"/>
        <v>297.87635553437713</v>
      </c>
      <c r="AC260" s="27">
        <f t="shared" si="15"/>
        <v>-4.1256682420391932E-3</v>
      </c>
      <c r="AD260" s="19">
        <v>35993</v>
      </c>
      <c r="AE260" s="28">
        <f t="shared" si="23"/>
        <v>-7.6083887362989988E-2</v>
      </c>
      <c r="AF260" s="16">
        <v>133850000</v>
      </c>
      <c r="AG260" s="28">
        <f t="shared" si="24"/>
        <v>2.2067806963958381E-2</v>
      </c>
      <c r="AH260" s="16">
        <v>13176000</v>
      </c>
      <c r="AI260" s="28">
        <f t="shared" si="25"/>
        <v>1.6039481801357169E-2</v>
      </c>
      <c r="AJ260" s="7">
        <f t="shared" si="27"/>
        <v>1543847.5</v>
      </c>
      <c r="AK260" s="27">
        <f t="shared" si="27"/>
        <v>9.192468222658734E-3</v>
      </c>
    </row>
    <row r="261" spans="1:37" ht="22.5" x14ac:dyDescent="0.55000000000000004">
      <c r="A261" s="7" t="s">
        <v>804</v>
      </c>
      <c r="B261" s="25">
        <v>0.64930555555555558</v>
      </c>
      <c r="C261" s="7">
        <v>1552998.22</v>
      </c>
      <c r="D261" s="27">
        <f t="shared" si="26"/>
        <v>5.9272175522517845E-3</v>
      </c>
      <c r="E261" s="7">
        <v>429012.79</v>
      </c>
      <c r="F261" s="27">
        <f t="shared" si="6"/>
        <v>6.3093244469252241E-3</v>
      </c>
      <c r="G261" s="9">
        <v>61778783.480999999</v>
      </c>
      <c r="H261" s="9">
        <v>59360.358</v>
      </c>
      <c r="I261" s="24">
        <f t="shared" si="19"/>
        <v>59.360357999999998</v>
      </c>
      <c r="J261" s="24">
        <f t="shared" si="20"/>
        <v>57.854625333333338</v>
      </c>
      <c r="K261" s="11">
        <v>11631072.566</v>
      </c>
      <c r="L261" s="11">
        <v>3612413.4339999999</v>
      </c>
      <c r="M261" s="11">
        <v>24412.210999999999</v>
      </c>
      <c r="N261" s="13">
        <v>67300</v>
      </c>
      <c r="O261" s="13">
        <f>216+156</f>
        <v>372</v>
      </c>
      <c r="P261" s="13">
        <f>148+82</f>
        <v>230</v>
      </c>
      <c r="Q261" s="13">
        <v>143</v>
      </c>
      <c r="R261" s="23">
        <v>9.6999999999999993</v>
      </c>
      <c r="S261" s="13">
        <v>23</v>
      </c>
      <c r="T261" s="23">
        <v>0.24099999999999999</v>
      </c>
      <c r="U261" s="15" t="s">
        <v>805</v>
      </c>
      <c r="V261" s="15" t="s">
        <v>806</v>
      </c>
      <c r="W261" s="20">
        <v>-0.51</v>
      </c>
      <c r="X261" s="20"/>
      <c r="Y261" s="20"/>
      <c r="Z261" s="20"/>
      <c r="AA261" s="16">
        <v>257172</v>
      </c>
      <c r="AB261" s="17">
        <f t="shared" si="22"/>
        <v>299.49710497643605</v>
      </c>
      <c r="AC261" s="27">
        <f t="shared" si="15"/>
        <v>3.7732179325100645E-4</v>
      </c>
      <c r="AD261" s="19">
        <v>34750</v>
      </c>
      <c r="AE261" s="28">
        <f t="shared" si="23"/>
        <v>-3.453449281804799E-2</v>
      </c>
      <c r="AF261" s="16">
        <v>133190000</v>
      </c>
      <c r="AG261" s="28">
        <f t="shared" si="24"/>
        <v>-4.9308927904370137E-3</v>
      </c>
      <c r="AH261" s="16">
        <v>13106000</v>
      </c>
      <c r="AI261" s="28">
        <f t="shared" si="25"/>
        <v>-5.3126897389192962E-3</v>
      </c>
      <c r="AJ261" s="7">
        <f t="shared" si="27"/>
        <v>1552998.22</v>
      </c>
      <c r="AK261" s="27">
        <f t="shared" si="27"/>
        <v>5.9272175522517845E-3</v>
      </c>
    </row>
    <row r="262" spans="1:37" ht="22.5" x14ac:dyDescent="0.55000000000000004">
      <c r="A262" s="7" t="s">
        <v>807</v>
      </c>
      <c r="B262" s="25">
        <v>0.55208333333333337</v>
      </c>
      <c r="C262" s="7">
        <v>1540141</v>
      </c>
      <c r="D262" s="27">
        <f t="shared" si="26"/>
        <v>-8.2789663467869312E-3</v>
      </c>
      <c r="E262" s="7">
        <v>426802</v>
      </c>
      <c r="F262" s="27">
        <f t="shared" si="6"/>
        <v>-5.1532030082366287E-3</v>
      </c>
      <c r="G262" s="9">
        <v>61262848</v>
      </c>
      <c r="H262" s="9">
        <v>58598</v>
      </c>
      <c r="I262" s="24">
        <f t="shared" si="19"/>
        <v>58.597999999999999</v>
      </c>
      <c r="J262" s="24">
        <f t="shared" si="20"/>
        <v>58.802122222222224</v>
      </c>
      <c r="K262" s="11">
        <v>11571810</v>
      </c>
      <c r="L262" s="11">
        <v>3611730</v>
      </c>
      <c r="M262" s="11">
        <v>1722694</v>
      </c>
      <c r="N262" s="13">
        <v>69090</v>
      </c>
      <c r="O262" s="13">
        <v>234</v>
      </c>
      <c r="P262" s="13">
        <v>439</v>
      </c>
      <c r="Q262" s="13">
        <v>91</v>
      </c>
      <c r="R262" s="23">
        <v>7.6</v>
      </c>
      <c r="S262" s="13">
        <v>75</v>
      </c>
      <c r="T262" s="23">
        <v>0.7</v>
      </c>
      <c r="U262" s="15" t="s">
        <v>808</v>
      </c>
      <c r="V262" s="15" t="s">
        <v>809</v>
      </c>
      <c r="W262" s="20">
        <v>-4.5599999999999996</v>
      </c>
      <c r="X262" s="20"/>
      <c r="Y262" s="20"/>
      <c r="Z262" s="20"/>
      <c r="AA262" s="16">
        <v>256952</v>
      </c>
      <c r="AB262" s="17">
        <f t="shared" si="22"/>
        <v>297.51232915096983</v>
      </c>
      <c r="AC262" s="27">
        <f t="shared" si="15"/>
        <v>-8.5545860358049453E-4</v>
      </c>
      <c r="AD262" s="19">
        <v>33357</v>
      </c>
      <c r="AE262" s="28">
        <f t="shared" si="23"/>
        <v>-4.0086330935251824E-2</v>
      </c>
      <c r="AF262" s="16">
        <v>129900000</v>
      </c>
      <c r="AG262" s="28">
        <f t="shared" si="24"/>
        <v>-2.4701554170733497E-2</v>
      </c>
      <c r="AH262" s="16">
        <v>13120000</v>
      </c>
      <c r="AI262" s="28">
        <f t="shared" si="25"/>
        <v>1.0682130321990613E-3</v>
      </c>
      <c r="AJ262" s="7">
        <f t="shared" si="27"/>
        <v>1540141</v>
      </c>
      <c r="AK262" s="27">
        <f t="shared" si="27"/>
        <v>-8.2789663467869312E-3</v>
      </c>
    </row>
    <row r="263" spans="1:37" ht="22.5" x14ac:dyDescent="0.55000000000000004">
      <c r="A263" s="7" t="s">
        <v>810</v>
      </c>
      <c r="B263" s="25"/>
      <c r="C263" s="7">
        <v>1539527.98</v>
      </c>
      <c r="D263" s="27">
        <f t="shared" si="26"/>
        <v>-3.9802849219650049E-4</v>
      </c>
      <c r="E263" s="7">
        <v>428868.7</v>
      </c>
      <c r="F263" s="27">
        <f t="shared" si="6"/>
        <v>4.842292210439636E-3</v>
      </c>
      <c r="G263" s="9">
        <v>61229581.729000002</v>
      </c>
      <c r="H263" s="9">
        <v>47713.38</v>
      </c>
      <c r="I263" s="24">
        <f t="shared" si="19"/>
        <v>47.713380000000001</v>
      </c>
      <c r="J263" s="24">
        <f t="shared" si="20"/>
        <v>58.412041333333342</v>
      </c>
      <c r="K263" s="11">
        <v>11567477.109999999</v>
      </c>
      <c r="L263" s="11">
        <v>3622191.787</v>
      </c>
      <c r="M263" s="11">
        <v>21426.162</v>
      </c>
      <c r="N263" s="13"/>
      <c r="O263" s="13"/>
      <c r="P263" s="13"/>
      <c r="Q263" s="13"/>
      <c r="R263" s="23"/>
      <c r="S263" s="13"/>
      <c r="T263" s="23"/>
      <c r="U263" s="15"/>
      <c r="V263" s="15"/>
      <c r="W263" s="20">
        <v>-1.1299999999999999</v>
      </c>
      <c r="X263" s="20"/>
      <c r="Y263" s="20"/>
      <c r="Z263" s="20"/>
      <c r="AA263" s="16">
        <v>257072</v>
      </c>
      <c r="AB263" s="17">
        <f t="shared" si="22"/>
        <v>297.26788847482419</v>
      </c>
      <c r="AC263" s="27">
        <f t="shared" si="15"/>
        <v>4.6701329431186878E-4</v>
      </c>
      <c r="AD263" s="19">
        <v>31729</v>
      </c>
      <c r="AE263" s="28">
        <f t="shared" si="23"/>
        <v>-4.8805348202776044E-2</v>
      </c>
      <c r="AF263" s="16">
        <v>135490000</v>
      </c>
      <c r="AG263" s="28">
        <f t="shared" si="24"/>
        <v>4.3033102386451194E-2</v>
      </c>
      <c r="AH263" s="16">
        <v>13194000</v>
      </c>
      <c r="AI263" s="28">
        <f t="shared" si="25"/>
        <v>5.6402439024390016E-3</v>
      </c>
      <c r="AJ263" s="7">
        <f t="shared" si="27"/>
        <v>1539527.98</v>
      </c>
      <c r="AK263" s="27">
        <f t="shared" si="27"/>
        <v>-3.9802849219650049E-4</v>
      </c>
    </row>
    <row r="264" spans="1:37" ht="22.5" x14ac:dyDescent="0.55000000000000004">
      <c r="A264" s="7" t="s">
        <v>811</v>
      </c>
      <c r="B264" s="25">
        <v>0.5625</v>
      </c>
      <c r="C264" s="7">
        <v>1564449</v>
      </c>
      <c r="D264" s="27">
        <f t="shared" si="26"/>
        <v>1.6187442075589864E-2</v>
      </c>
      <c r="E264" s="7">
        <v>438409.32</v>
      </c>
      <c r="F264" s="27">
        <f t="shared" si="6"/>
        <v>2.2246016088373954E-2</v>
      </c>
      <c r="G264" s="9">
        <v>62219297.82</v>
      </c>
      <c r="H264" s="9">
        <v>64396.273999999998</v>
      </c>
      <c r="I264" s="24">
        <f t="shared" si="19"/>
        <v>64.396273999999991</v>
      </c>
      <c r="J264" s="24">
        <f t="shared" si="20"/>
        <v>58.368680333333323</v>
      </c>
      <c r="K264" s="11">
        <v>11761979.025</v>
      </c>
      <c r="L264" s="11">
        <v>3652458.1940000001</v>
      </c>
      <c r="M264" s="11">
        <v>34694.777000000002</v>
      </c>
      <c r="N264" s="13">
        <v>65830</v>
      </c>
      <c r="O264" s="13">
        <f>323+193</f>
        <v>516</v>
      </c>
      <c r="P264" s="13">
        <f>46+62</f>
        <v>108</v>
      </c>
      <c r="Q264" s="13">
        <v>236</v>
      </c>
      <c r="R264" s="23">
        <v>10.7</v>
      </c>
      <c r="S264" s="13">
        <v>6</v>
      </c>
      <c r="T264" s="23">
        <v>5.8000000000000003E-2</v>
      </c>
      <c r="U264" s="15" t="s">
        <v>812</v>
      </c>
      <c r="V264" s="15" t="s">
        <v>813</v>
      </c>
      <c r="W264" s="20">
        <v>2.61</v>
      </c>
      <c r="X264" s="20"/>
      <c r="Y264" s="20"/>
      <c r="Z264" s="20"/>
      <c r="AA264" s="16">
        <v>257360</v>
      </c>
      <c r="AB264" s="17">
        <f t="shared" si="22"/>
        <v>301.6542393495493</v>
      </c>
      <c r="AC264" s="27">
        <f t="shared" si="15"/>
        <v>1.1203087072881868E-3</v>
      </c>
      <c r="AD264" s="19">
        <v>31088</v>
      </c>
      <c r="AE264" s="28">
        <f t="shared" si="23"/>
        <v>-2.0202338554634602E-2</v>
      </c>
      <c r="AF264" s="16">
        <v>137210000</v>
      </c>
      <c r="AG264" s="28">
        <f t="shared" si="24"/>
        <v>1.2694663812827578E-2</v>
      </c>
      <c r="AH264" s="16">
        <v>13393000</v>
      </c>
      <c r="AI264" s="28">
        <f t="shared" si="25"/>
        <v>1.5082613309079784E-2</v>
      </c>
      <c r="AJ264" s="7">
        <f t="shared" si="27"/>
        <v>1564449</v>
      </c>
      <c r="AK264" s="27">
        <f t="shared" si="27"/>
        <v>1.6187442075589864E-2</v>
      </c>
    </row>
    <row r="265" spans="1:37" ht="22.5" x14ac:dyDescent="0.55000000000000004">
      <c r="A265" s="7" t="s">
        <v>814</v>
      </c>
      <c r="B265" s="25">
        <v>0.67013888888888884</v>
      </c>
      <c r="C265" s="7">
        <v>1578422.05</v>
      </c>
      <c r="D265" s="27">
        <f t="shared" si="26"/>
        <v>8.9316110656212366E-3</v>
      </c>
      <c r="E265" s="7">
        <v>444647.01</v>
      </c>
      <c r="F265" s="27">
        <f t="shared" si="6"/>
        <v>1.4228005006827971E-2</v>
      </c>
      <c r="G265" s="9">
        <v>62771586.572999999</v>
      </c>
      <c r="H265" s="9">
        <v>74641.464999999997</v>
      </c>
      <c r="I265" s="24">
        <f t="shared" si="19"/>
        <v>74.641464999999997</v>
      </c>
      <c r="J265" s="24">
        <f t="shared" si="20"/>
        <v>59.745936888888892</v>
      </c>
      <c r="K265" s="11">
        <v>11880723.448000001</v>
      </c>
      <c r="L265" s="11">
        <v>3669001.9180000001</v>
      </c>
      <c r="M265" s="11">
        <v>36133.392</v>
      </c>
      <c r="N265" s="13">
        <v>79610</v>
      </c>
      <c r="O265" s="13">
        <f>252+186</f>
        <v>438</v>
      </c>
      <c r="P265" s="13">
        <f>119+80</f>
        <v>199</v>
      </c>
      <c r="Q265" s="13">
        <v>215</v>
      </c>
      <c r="R265" s="23">
        <v>9.36</v>
      </c>
      <c r="S265" s="13">
        <v>34</v>
      </c>
      <c r="T265" s="23">
        <v>2.9</v>
      </c>
      <c r="U265" s="15" t="s">
        <v>815</v>
      </c>
      <c r="V265" s="15" t="s">
        <v>816</v>
      </c>
      <c r="W265" s="20">
        <v>1.27</v>
      </c>
      <c r="X265" s="20"/>
      <c r="Y265" s="20"/>
      <c r="Z265" s="20"/>
      <c r="AA265" s="16">
        <v>256813</v>
      </c>
      <c r="AB265" s="17">
        <f t="shared" si="22"/>
        <v>304.9740937530421</v>
      </c>
      <c r="AC265" s="27">
        <f t="shared" si="15"/>
        <v>-2.1254274168479581E-3</v>
      </c>
      <c r="AD265" s="19">
        <v>28928</v>
      </c>
      <c r="AE265" s="28">
        <f t="shared" si="23"/>
        <v>-6.9480185280494045E-2</v>
      </c>
      <c r="AF265" s="16">
        <v>141050000</v>
      </c>
      <c r="AG265" s="28">
        <f t="shared" si="24"/>
        <v>2.7986298374754082E-2</v>
      </c>
      <c r="AH265" s="16">
        <v>13522000</v>
      </c>
      <c r="AI265" s="28">
        <f t="shared" si="25"/>
        <v>9.6318972597626562E-3</v>
      </c>
      <c r="AJ265" s="7">
        <f t="shared" si="27"/>
        <v>1578422.05</v>
      </c>
      <c r="AK265" s="27">
        <f t="shared" si="27"/>
        <v>8.9316110656212366E-3</v>
      </c>
    </row>
    <row r="266" spans="1:37" ht="22.5" x14ac:dyDescent="0.55000000000000004">
      <c r="A266" s="7" t="s">
        <v>817</v>
      </c>
      <c r="B266" s="25">
        <v>0.55833333333333335</v>
      </c>
      <c r="C266" s="7">
        <v>1572980.08</v>
      </c>
      <c r="D266" s="27">
        <f t="shared" si="26"/>
        <v>-3.4477280648733677E-3</v>
      </c>
      <c r="E266" s="7">
        <v>444973</v>
      </c>
      <c r="F266" s="27">
        <f t="shared" si="6"/>
        <v>7.3314335342100634E-4</v>
      </c>
      <c r="G266" s="9">
        <v>62546658.736000001</v>
      </c>
      <c r="H266" s="9">
        <v>74049.850999999995</v>
      </c>
      <c r="I266" s="24">
        <f t="shared" si="19"/>
        <v>74.04985099999999</v>
      </c>
      <c r="J266" s="24">
        <f t="shared" si="20"/>
        <v>62.410142555555552</v>
      </c>
      <c r="K266" s="11">
        <v>11831888.426999999</v>
      </c>
      <c r="L266" s="11">
        <v>3669527.8339999998</v>
      </c>
      <c r="M266" s="11">
        <v>48053.879000000001</v>
      </c>
      <c r="N266" s="13">
        <v>86250</v>
      </c>
      <c r="O266" s="13">
        <f>188+138</f>
        <v>326</v>
      </c>
      <c r="P266" s="13">
        <f>128+182</f>
        <v>310</v>
      </c>
      <c r="Q266" s="13">
        <v>139</v>
      </c>
      <c r="R266" s="23">
        <v>4.2</v>
      </c>
      <c r="S266" s="13">
        <v>33</v>
      </c>
      <c r="T266" s="23">
        <v>0.48199999999999998</v>
      </c>
      <c r="U266" s="15" t="s">
        <v>818</v>
      </c>
      <c r="V266" s="15" t="s">
        <v>819</v>
      </c>
      <c r="W266" s="20">
        <v>-3.29</v>
      </c>
      <c r="X266" s="20"/>
      <c r="Y266" s="20"/>
      <c r="Z266" s="20"/>
      <c r="AA266" s="16">
        <v>255823</v>
      </c>
      <c r="AB266" s="17">
        <f t="shared" si="22"/>
        <v>305.08623148426847</v>
      </c>
      <c r="AC266" s="27">
        <f t="shared" si="15"/>
        <v>-3.8549450378291272E-3</v>
      </c>
      <c r="AD266" s="19">
        <v>29604</v>
      </c>
      <c r="AE266" s="28">
        <f t="shared" si="23"/>
        <v>2.3368362831858391E-2</v>
      </c>
      <c r="AF266" s="16">
        <v>144790000</v>
      </c>
      <c r="AG266" s="28">
        <f t="shared" si="24"/>
        <v>2.6515420063807138E-2</v>
      </c>
      <c r="AH266" s="16">
        <v>13817000</v>
      </c>
      <c r="AI266" s="28">
        <f t="shared" si="25"/>
        <v>2.1816299363999425E-2</v>
      </c>
      <c r="AJ266" s="7">
        <f t="shared" si="27"/>
        <v>1572980.08</v>
      </c>
      <c r="AK266" s="27">
        <f t="shared" si="27"/>
        <v>-3.4477280648733677E-3</v>
      </c>
    </row>
    <row r="267" spans="1:37" ht="22.5" x14ac:dyDescent="0.55000000000000004">
      <c r="A267" s="7" t="s">
        <v>820</v>
      </c>
      <c r="B267" s="25">
        <v>0.55208333333333337</v>
      </c>
      <c r="C267" s="7">
        <v>1583800.45</v>
      </c>
      <c r="D267" s="27">
        <f t="shared" si="26"/>
        <v>6.8788983011149885E-3</v>
      </c>
      <c r="E267" s="7">
        <v>449224.73</v>
      </c>
      <c r="F267" s="27">
        <f t="shared" si="6"/>
        <v>9.5550291815458266E-3</v>
      </c>
      <c r="G267" s="9">
        <v>62976506.858000003</v>
      </c>
      <c r="H267" s="9">
        <v>66200.308000000005</v>
      </c>
      <c r="I267" s="24">
        <f t="shared" si="19"/>
        <v>66.200308000000007</v>
      </c>
      <c r="J267" s="24">
        <f t="shared" si="20"/>
        <v>63.749489444444436</v>
      </c>
      <c r="K267" s="11">
        <v>11903677.037</v>
      </c>
      <c r="L267" s="11">
        <v>3650067.9449999998</v>
      </c>
      <c r="M267" s="11">
        <v>1647331.7919999999</v>
      </c>
      <c r="N267" s="13">
        <v>74300</v>
      </c>
      <c r="O267" s="13">
        <v>431</v>
      </c>
      <c r="P267" s="13">
        <v>258</v>
      </c>
      <c r="Q267" s="13">
        <v>161</v>
      </c>
      <c r="R267" s="23">
        <v>6.9</v>
      </c>
      <c r="S267" s="13">
        <v>32</v>
      </c>
      <c r="T267" s="23">
        <v>0.6</v>
      </c>
      <c r="U267" s="15" t="s">
        <v>821</v>
      </c>
      <c r="V267" s="15" t="s">
        <v>822</v>
      </c>
      <c r="W267" s="20">
        <v>1.63</v>
      </c>
      <c r="X267" s="20"/>
      <c r="Y267" s="20"/>
      <c r="Z267" s="20"/>
      <c r="AA267" s="16">
        <v>256821</v>
      </c>
      <c r="AB267" s="17">
        <f t="shared" si="22"/>
        <v>305.77815614766706</v>
      </c>
      <c r="AC267" s="27">
        <f t="shared" si="15"/>
        <v>3.9011347689612563E-3</v>
      </c>
      <c r="AD267" s="19">
        <v>29760</v>
      </c>
      <c r="AE267" s="28">
        <f t="shared" si="23"/>
        <v>5.2695581678152692E-3</v>
      </c>
      <c r="AF267" s="16">
        <v>142880000</v>
      </c>
      <c r="AG267" s="30">
        <f t="shared" si="24"/>
        <v>-1.3191518751294984E-2</v>
      </c>
      <c r="AH267" s="16">
        <v>13739000</v>
      </c>
      <c r="AI267" s="30">
        <f t="shared" si="25"/>
        <v>-5.6452196569443114E-3</v>
      </c>
      <c r="AJ267" s="7">
        <f t="shared" si="27"/>
        <v>1583800.45</v>
      </c>
      <c r="AK267" s="27">
        <f t="shared" si="27"/>
        <v>6.8788983011149885E-3</v>
      </c>
    </row>
    <row r="268" spans="1:37" ht="22.5" x14ac:dyDescent="0.55000000000000004">
      <c r="A268" s="7" t="s">
        <v>823</v>
      </c>
      <c r="B268" s="25">
        <v>0.55625000000000002</v>
      </c>
      <c r="C268" s="7">
        <v>1606026.56</v>
      </c>
      <c r="D268" s="27">
        <f t="shared" si="26"/>
        <v>1.4033403008567147E-2</v>
      </c>
      <c r="E268" s="7">
        <v>447813.52</v>
      </c>
      <c r="F268" s="27">
        <f t="shared" si="6"/>
        <v>-3.1414343551388058E-3</v>
      </c>
      <c r="G268" s="9">
        <v>63859677.667999998</v>
      </c>
      <c r="H268" s="9">
        <v>72916.381999999998</v>
      </c>
      <c r="I268" s="24">
        <f t="shared" si="19"/>
        <v>72.916381999999999</v>
      </c>
      <c r="J268" s="24">
        <f t="shared" si="20"/>
        <v>65.809361222222208</v>
      </c>
      <c r="K268" s="11">
        <v>12009536.205</v>
      </c>
      <c r="L268" s="11">
        <v>3660482.53</v>
      </c>
      <c r="M268" s="11">
        <v>31570.572</v>
      </c>
      <c r="N268" s="13">
        <v>81340</v>
      </c>
      <c r="O268" s="13">
        <f>141+103</f>
        <v>244</v>
      </c>
      <c r="P268" s="13">
        <f>239+161</f>
        <v>400</v>
      </c>
      <c r="Q268" s="13">
        <v>86</v>
      </c>
      <c r="R268" s="23">
        <v>4.5999999999999996</v>
      </c>
      <c r="S268" s="13">
        <v>66</v>
      </c>
      <c r="T268" s="23">
        <v>1</v>
      </c>
      <c r="U268" s="15" t="s">
        <v>824</v>
      </c>
      <c r="V268" s="15" t="s">
        <v>825</v>
      </c>
      <c r="W268" s="20">
        <v>-2.5</v>
      </c>
      <c r="X268" s="20"/>
      <c r="Y268" s="20"/>
      <c r="Z268" s="20"/>
      <c r="AA268" s="16">
        <v>256419</v>
      </c>
      <c r="AB268" s="17">
        <f t="shared" si="22"/>
        <v>310.15523967802699</v>
      </c>
      <c r="AC268" s="27">
        <f t="shared" si="15"/>
        <v>-1.5652925578515386E-3</v>
      </c>
      <c r="AD268" s="19">
        <v>30652</v>
      </c>
      <c r="AE268" s="28">
        <f t="shared" si="23"/>
        <v>2.9973118279569944E-2</v>
      </c>
      <c r="AF268" s="16">
        <v>142130000</v>
      </c>
      <c r="AG268" s="30">
        <f t="shared" si="24"/>
        <v>-5.2491601343784833E-3</v>
      </c>
      <c r="AH268" s="16">
        <v>13600000</v>
      </c>
      <c r="AI268" s="30">
        <f t="shared" si="25"/>
        <v>-1.0117184656816325E-2</v>
      </c>
      <c r="AJ268" s="7">
        <f t="shared" si="27"/>
        <v>1606026.56</v>
      </c>
      <c r="AK268" s="27">
        <f t="shared" si="27"/>
        <v>1.4033403008567147E-2</v>
      </c>
    </row>
    <row r="269" spans="1:37" ht="22.5" x14ac:dyDescent="0.55000000000000004">
      <c r="A269" s="7" t="s">
        <v>826</v>
      </c>
      <c r="B269" s="25"/>
      <c r="C269" s="7">
        <v>1594976.87</v>
      </c>
      <c r="D269" s="27">
        <f t="shared" si="26"/>
        <v>-6.880141508992188E-3</v>
      </c>
      <c r="E269" s="7">
        <v>442623.27</v>
      </c>
      <c r="F269" s="27">
        <f t="shared" si="6"/>
        <v>-1.159020388665355E-2</v>
      </c>
      <c r="G269" s="9">
        <v>63417554.762000002</v>
      </c>
      <c r="H269" s="9">
        <v>50855.044000000002</v>
      </c>
      <c r="I269" s="24">
        <f t="shared" si="19"/>
        <v>50.855043999999999</v>
      </c>
      <c r="J269" s="24">
        <f t="shared" si="20"/>
        <v>63.192340222222214</v>
      </c>
      <c r="K269" s="11">
        <v>11977880.27</v>
      </c>
      <c r="L269" s="11">
        <v>3668447.5240000002</v>
      </c>
      <c r="M269" s="11">
        <v>24065.762999999999</v>
      </c>
      <c r="N269" s="13">
        <v>62070</v>
      </c>
      <c r="O269" s="13">
        <v>173</v>
      </c>
      <c r="P269" s="13">
        <v>431</v>
      </c>
      <c r="Q269" s="13">
        <v>78</v>
      </c>
      <c r="R269" s="23">
        <v>3.5</v>
      </c>
      <c r="S269" s="13">
        <v>69</v>
      </c>
      <c r="T269" s="23">
        <v>1.6</v>
      </c>
      <c r="U269" s="15" t="s">
        <v>827</v>
      </c>
      <c r="V269" s="15" t="s">
        <v>828</v>
      </c>
      <c r="W269" s="20">
        <v>-3.57</v>
      </c>
      <c r="X269" s="20"/>
      <c r="Y269" s="20"/>
      <c r="Z269" s="20"/>
      <c r="AA269" s="16">
        <v>256422</v>
      </c>
      <c r="AB269" s="17">
        <f t="shared" si="22"/>
        <v>308.33502022447368</v>
      </c>
      <c r="AC269" s="27">
        <f t="shared" si="15"/>
        <v>1.169960104352441E-5</v>
      </c>
      <c r="AD269" s="19">
        <v>29768</v>
      </c>
      <c r="AE269" s="28">
        <f t="shared" si="23"/>
        <v>-2.8839879942581192E-2</v>
      </c>
      <c r="AF269" s="16">
        <v>139130000</v>
      </c>
      <c r="AG269" s="30">
        <f t="shared" si="24"/>
        <v>-2.1107436853584738E-2</v>
      </c>
      <c r="AH269" s="16">
        <v>13487000</v>
      </c>
      <c r="AI269" s="30">
        <f t="shared" si="25"/>
        <v>-8.3088235294117574E-3</v>
      </c>
      <c r="AJ269" s="7">
        <f t="shared" si="27"/>
        <v>1594976.87</v>
      </c>
      <c r="AK269" s="27">
        <f t="shared" si="27"/>
        <v>-6.880141508992188E-3</v>
      </c>
    </row>
    <row r="270" spans="1:37" ht="22.5" x14ac:dyDescent="0.55000000000000004">
      <c r="A270" s="7" t="s">
        <v>829</v>
      </c>
      <c r="B270" s="25">
        <v>0.59722222222222221</v>
      </c>
      <c r="C270" s="7">
        <v>1579686</v>
      </c>
      <c r="D270" s="27">
        <f t="shared" si="26"/>
        <v>-9.586891376048623E-3</v>
      </c>
      <c r="E270" s="7">
        <v>440184.73</v>
      </c>
      <c r="F270" s="27">
        <f t="shared" si="6"/>
        <v>-5.5092901012638862E-3</v>
      </c>
      <c r="G270" s="9">
        <v>62795033.236000001</v>
      </c>
      <c r="H270" s="9">
        <v>61769.326000000001</v>
      </c>
      <c r="I270" s="24">
        <f t="shared" si="19"/>
        <v>61.769326</v>
      </c>
      <c r="J270" s="24">
        <f t="shared" si="20"/>
        <v>63.460003333333333</v>
      </c>
      <c r="K270" s="11">
        <v>11919756.1</v>
      </c>
      <c r="L270" s="11">
        <v>3659107.2110000001</v>
      </c>
      <c r="M270" s="11">
        <v>35230.669000000002</v>
      </c>
      <c r="N270" s="13">
        <v>60580</v>
      </c>
      <c r="O270" s="13">
        <f>130+115</f>
        <v>245</v>
      </c>
      <c r="P270" s="13">
        <f>156+233</f>
        <v>389</v>
      </c>
      <c r="Q270" s="13">
        <v>75</v>
      </c>
      <c r="R270" s="23">
        <v>4.8</v>
      </c>
      <c r="S270" s="13">
        <v>71</v>
      </c>
      <c r="T270" s="23">
        <v>1.6</v>
      </c>
      <c r="U270" s="15" t="s">
        <v>830</v>
      </c>
      <c r="V270" s="15" t="s">
        <v>831</v>
      </c>
      <c r="W270" s="20">
        <v>-4.71</v>
      </c>
      <c r="X270" s="20"/>
      <c r="Y270" s="20"/>
      <c r="Z270" s="20"/>
      <c r="AA270" s="16">
        <v>256248</v>
      </c>
      <c r="AB270" s="17">
        <f t="shared" si="22"/>
        <v>305.85173951406455</v>
      </c>
      <c r="AC270" s="27">
        <f t="shared" si="15"/>
        <v>-6.7856892154338766E-4</v>
      </c>
      <c r="AD270" s="19">
        <v>29269</v>
      </c>
      <c r="AE270" s="28">
        <f t="shared" si="23"/>
        <v>-1.6762966944369739E-2</v>
      </c>
      <c r="AF270" s="16">
        <v>143190000</v>
      </c>
      <c r="AG270" s="30">
        <f t="shared" si="24"/>
        <v>2.9181341191691246E-2</v>
      </c>
      <c r="AH270" s="16">
        <v>13845000</v>
      </c>
      <c r="AI270" s="30">
        <f t="shared" si="25"/>
        <v>2.6544079483947547E-2</v>
      </c>
      <c r="AJ270" s="7">
        <f t="shared" si="27"/>
        <v>1579686</v>
      </c>
      <c r="AK270" s="27">
        <f t="shared" si="27"/>
        <v>-9.586891376048623E-3</v>
      </c>
    </row>
    <row r="271" spans="1:37" ht="22.5" x14ac:dyDescent="0.55000000000000004">
      <c r="A271" s="7" t="s">
        <v>832</v>
      </c>
      <c r="B271" s="25">
        <v>0.58124999999999993</v>
      </c>
      <c r="C271" s="7">
        <v>1582143.83</v>
      </c>
      <c r="D271" s="27">
        <f t="shared" si="26"/>
        <v>1.5558978176675176E-3</v>
      </c>
      <c r="E271" s="7">
        <v>441510.65</v>
      </c>
      <c r="F271" s="27">
        <f t="shared" si="6"/>
        <v>3.0121899049067036E-3</v>
      </c>
      <c r="G271" s="9">
        <v>62785176.501999997</v>
      </c>
      <c r="H271" s="9">
        <v>45624.542000000001</v>
      </c>
      <c r="I271" s="24">
        <f t="shared" si="19"/>
        <v>45.624541999999998</v>
      </c>
      <c r="J271" s="24">
        <f t="shared" si="20"/>
        <v>62.018508000000011</v>
      </c>
      <c r="K271" s="11">
        <v>11925824.767000001</v>
      </c>
      <c r="L271" s="11">
        <v>3689471.9559999998</v>
      </c>
      <c r="M271" s="11">
        <v>23386.918000000001</v>
      </c>
      <c r="N271" s="13">
        <v>54170</v>
      </c>
      <c r="O271" s="13">
        <f>205+133</f>
        <v>338</v>
      </c>
      <c r="P271" s="13">
        <f>157+127</f>
        <v>284</v>
      </c>
      <c r="Q271" s="13">
        <v>106</v>
      </c>
      <c r="R271" s="23">
        <v>5.6</v>
      </c>
      <c r="S271" s="13">
        <v>43</v>
      </c>
      <c r="T271" s="23">
        <v>1.2</v>
      </c>
      <c r="U271" s="15" t="s">
        <v>833</v>
      </c>
      <c r="V271" s="15" t="s">
        <v>834</v>
      </c>
      <c r="W271" s="20">
        <v>-2.4700000000000002</v>
      </c>
      <c r="X271" s="20"/>
      <c r="Y271" s="20"/>
      <c r="Z271" s="20"/>
      <c r="AA271" s="16">
        <v>257267</v>
      </c>
      <c r="AB271" s="17">
        <f t="shared" si="22"/>
        <v>304.74360576754884</v>
      </c>
      <c r="AC271" s="27">
        <f t="shared" si="15"/>
        <v>3.9766164028596229E-3</v>
      </c>
      <c r="AD271" s="19">
        <v>29545</v>
      </c>
      <c r="AE271" s="28">
        <f t="shared" si="23"/>
        <v>9.429772113840551E-3</v>
      </c>
      <c r="AF271" s="16">
        <v>144560000</v>
      </c>
      <c r="AG271" s="30">
        <f t="shared" si="24"/>
        <v>9.5677072421258558E-3</v>
      </c>
      <c r="AH271" s="16">
        <v>13859000</v>
      </c>
      <c r="AI271" s="30">
        <f t="shared" si="25"/>
        <v>1.0111953773925819E-3</v>
      </c>
      <c r="AJ271" s="7">
        <f t="shared" si="27"/>
        <v>1582143.83</v>
      </c>
      <c r="AK271" s="27">
        <f t="shared" si="27"/>
        <v>1.5558978176675176E-3</v>
      </c>
    </row>
    <row r="272" spans="1:37" ht="22.5" x14ac:dyDescent="0.55000000000000004">
      <c r="A272" s="7" t="s">
        <v>835</v>
      </c>
      <c r="B272" s="25">
        <v>0.63124999999999998</v>
      </c>
      <c r="C272" s="7">
        <v>1557213.01</v>
      </c>
      <c r="D272" s="27">
        <f t="shared" si="26"/>
        <v>-1.5757619204570084E-2</v>
      </c>
      <c r="E272" s="7">
        <v>432773.3</v>
      </c>
      <c r="F272" s="27">
        <f t="shared" si="6"/>
        <v>-1.9789669852811054E-2</v>
      </c>
      <c r="G272" s="9">
        <v>61788319.978</v>
      </c>
      <c r="H272" s="9">
        <v>61705.298999999999</v>
      </c>
      <c r="I272" s="24">
        <f t="shared" si="19"/>
        <v>61.705298999999997</v>
      </c>
      <c r="J272" s="24">
        <f t="shared" si="20"/>
        <v>63.573165666666668</v>
      </c>
      <c r="K272" s="11">
        <v>11786056.689999999</v>
      </c>
      <c r="L272" s="11">
        <v>3665111.7</v>
      </c>
      <c r="M272" s="11">
        <v>1548353.041</v>
      </c>
      <c r="N272" s="13">
        <v>75190</v>
      </c>
      <c r="O272" s="13">
        <f>76+86</f>
        <v>162</v>
      </c>
      <c r="P272" s="13">
        <f>296+225</f>
        <v>521</v>
      </c>
      <c r="Q272" s="13">
        <v>68</v>
      </c>
      <c r="R272" s="23">
        <v>4.4000000000000004</v>
      </c>
      <c r="S272" s="13">
        <v>192</v>
      </c>
      <c r="T272" s="23">
        <v>3.6</v>
      </c>
      <c r="U272" s="15" t="s">
        <v>836</v>
      </c>
      <c r="V272" s="15" t="s">
        <v>837</v>
      </c>
      <c r="W272" s="20">
        <v>-12.91</v>
      </c>
      <c r="X272" s="20"/>
      <c r="Y272" s="20"/>
      <c r="Z272" s="20"/>
      <c r="AA272" s="16">
        <v>258360</v>
      </c>
      <c r="AB272" s="17">
        <f t="shared" si="22"/>
        <v>298.96070741600869</v>
      </c>
      <c r="AC272" s="27">
        <f t="shared" si="15"/>
        <v>4.2485044720077525E-3</v>
      </c>
      <c r="AD272" s="19">
        <v>30430</v>
      </c>
      <c r="AE272" s="28">
        <f t="shared" si="23"/>
        <v>2.9954306989338209E-2</v>
      </c>
      <c r="AF272" s="16">
        <v>145040000</v>
      </c>
      <c r="AG272" s="30">
        <f t="shared" si="24"/>
        <v>3.3204205866075309E-3</v>
      </c>
      <c r="AH272" s="16">
        <v>13820000</v>
      </c>
      <c r="AI272" s="30">
        <f t="shared" si="25"/>
        <v>-2.8140558481852818E-3</v>
      </c>
      <c r="AJ272" s="7">
        <f t="shared" si="27"/>
        <v>1557213.01</v>
      </c>
      <c r="AK272" s="27">
        <f t="shared" si="27"/>
        <v>-1.5757619204570084E-2</v>
      </c>
    </row>
    <row r="273" spans="1:37" ht="22.5" x14ac:dyDescent="0.55000000000000004">
      <c r="A273" s="7" t="s">
        <v>838</v>
      </c>
      <c r="B273" s="25">
        <v>0.61388888888888882</v>
      </c>
      <c r="C273" s="7">
        <v>1555689</v>
      </c>
      <c r="D273" s="27">
        <f t="shared" si="26"/>
        <v>-9.7867792666339604E-4</v>
      </c>
      <c r="E273" s="7">
        <v>431228.22</v>
      </c>
      <c r="F273" s="27">
        <f t="shared" si="6"/>
        <v>-3.5701832807153444E-3</v>
      </c>
      <c r="G273" s="9">
        <v>61709569.552000001</v>
      </c>
      <c r="H273" s="9">
        <v>42853.243999999999</v>
      </c>
      <c r="I273" s="24">
        <f t="shared" si="19"/>
        <v>42.853243999999997</v>
      </c>
      <c r="J273" s="24">
        <f t="shared" si="20"/>
        <v>61.179495666666668</v>
      </c>
      <c r="K273" s="11">
        <v>11805829.671</v>
      </c>
      <c r="L273" s="11">
        <v>3644051.59</v>
      </c>
      <c r="M273" s="11">
        <v>29825.589</v>
      </c>
      <c r="N273" s="13">
        <v>52550</v>
      </c>
      <c r="O273" s="13">
        <f>129+163</f>
        <v>292</v>
      </c>
      <c r="P273" s="13">
        <f>218+127</f>
        <v>345</v>
      </c>
      <c r="Q273" s="13">
        <v>102</v>
      </c>
      <c r="R273" s="23">
        <v>7.25</v>
      </c>
      <c r="S273" s="13">
        <v>76</v>
      </c>
      <c r="T273" s="23">
        <v>1.1499999999999999</v>
      </c>
      <c r="U273" s="15" t="s">
        <v>839</v>
      </c>
      <c r="V273" s="15" t="s">
        <v>840</v>
      </c>
      <c r="W273" s="20">
        <v>-4.97</v>
      </c>
      <c r="X273" s="20"/>
      <c r="Y273" s="20"/>
      <c r="Z273" s="20"/>
      <c r="AA273" s="16">
        <v>258486</v>
      </c>
      <c r="AB273" s="17">
        <f t="shared" si="22"/>
        <v>298.50533805699337</v>
      </c>
      <c r="AC273" s="27">
        <f t="shared" si="15"/>
        <v>4.8769159312578303E-4</v>
      </c>
      <c r="AD273" s="19">
        <v>29295</v>
      </c>
      <c r="AE273" s="28">
        <f t="shared" si="23"/>
        <v>-3.7298718370029627E-2</v>
      </c>
      <c r="AF273" s="16">
        <v>144160000</v>
      </c>
      <c r="AG273" s="30">
        <f t="shared" si="24"/>
        <v>-6.0672917815774996E-3</v>
      </c>
      <c r="AH273" s="16">
        <v>13783000</v>
      </c>
      <c r="AI273" s="30">
        <f t="shared" si="25"/>
        <v>-2.6772793053545518E-3</v>
      </c>
      <c r="AJ273" s="7">
        <f t="shared" si="27"/>
        <v>1555689</v>
      </c>
      <c r="AK273" s="27">
        <f t="shared" si="27"/>
        <v>-9.7867792666339604E-4</v>
      </c>
    </row>
    <row r="274" spans="1:37" ht="22.5" x14ac:dyDescent="0.55000000000000004">
      <c r="A274" s="7" t="s">
        <v>841</v>
      </c>
      <c r="B274" s="25">
        <v>0.54305555555555551</v>
      </c>
      <c r="C274" s="7">
        <v>1564479.18</v>
      </c>
      <c r="D274" s="27">
        <f t="shared" si="26"/>
        <v>5.6503452810940935E-3</v>
      </c>
      <c r="E274" s="7">
        <v>436794</v>
      </c>
      <c r="F274" s="27">
        <f t="shared" si="6"/>
        <v>1.2906808371678569E-2</v>
      </c>
      <c r="G274" s="9">
        <v>62095671.311999999</v>
      </c>
      <c r="H274" s="9">
        <v>49279.476000000002</v>
      </c>
      <c r="I274" s="24">
        <f t="shared" si="19"/>
        <v>49.279476000000003</v>
      </c>
      <c r="J274" s="24">
        <f t="shared" si="20"/>
        <v>58.361496888888901</v>
      </c>
      <c r="K274" s="11">
        <v>11882661.376</v>
      </c>
      <c r="L274" s="11">
        <v>3653475.0150000001</v>
      </c>
      <c r="M274" s="11">
        <v>26219.629000000001</v>
      </c>
      <c r="N274" s="13">
        <v>59600</v>
      </c>
      <c r="O274" s="13">
        <f>294+191</f>
        <v>485</v>
      </c>
      <c r="P274" s="13">
        <f>80+64</f>
        <v>144</v>
      </c>
      <c r="Q274" s="13">
        <v>154</v>
      </c>
      <c r="R274" s="23">
        <v>11.45</v>
      </c>
      <c r="S274" s="13">
        <v>28</v>
      </c>
      <c r="T274" s="23">
        <v>0.62</v>
      </c>
      <c r="U274" s="15" t="s">
        <v>842</v>
      </c>
      <c r="V274" s="15" t="s">
        <v>843</v>
      </c>
      <c r="W274" s="20">
        <v>1.55</v>
      </c>
      <c r="X274" s="20"/>
      <c r="Y274" s="20"/>
      <c r="Z274" s="20"/>
      <c r="AA274" s="16">
        <v>258185</v>
      </c>
      <c r="AB274" s="17">
        <f t="shared" si="22"/>
        <v>300.68287353254448</v>
      </c>
      <c r="AC274" s="27">
        <f t="shared" si="15"/>
        <v>-1.1644731242698159E-3</v>
      </c>
      <c r="AD274" s="19">
        <v>29775</v>
      </c>
      <c r="AE274" s="28">
        <f t="shared" si="23"/>
        <v>1.6385048643113187E-2</v>
      </c>
      <c r="AF274" s="16">
        <v>143750000</v>
      </c>
      <c r="AG274" s="30">
        <f t="shared" si="24"/>
        <v>-2.8440621531631294E-3</v>
      </c>
      <c r="AH274" s="16">
        <v>13803000</v>
      </c>
      <c r="AI274" s="30">
        <f t="shared" si="25"/>
        <v>1.4510629035768829E-3</v>
      </c>
      <c r="AJ274" s="7">
        <f t="shared" si="27"/>
        <v>1564479.18</v>
      </c>
      <c r="AK274" s="27">
        <f t="shared" si="27"/>
        <v>5.6503452810940935E-3</v>
      </c>
    </row>
    <row r="275" spans="1:37" ht="22.5" x14ac:dyDescent="0.55000000000000004">
      <c r="A275" s="7" t="s">
        <v>844</v>
      </c>
      <c r="B275" s="25">
        <v>0.69027777777777777</v>
      </c>
      <c r="C275" s="7">
        <v>1553376.96</v>
      </c>
      <c r="D275" s="27">
        <f t="shared" si="26"/>
        <v>-7.0964319256712205E-3</v>
      </c>
      <c r="E275" s="7">
        <v>432541.85</v>
      </c>
      <c r="F275" s="27">
        <f t="shared" si="6"/>
        <v>-9.7349093623081417E-3</v>
      </c>
      <c r="G275" s="9">
        <v>61653116.285999998</v>
      </c>
      <c r="H275" s="9">
        <v>57126.082999999999</v>
      </c>
      <c r="I275" s="24">
        <f t="shared" si="19"/>
        <v>57.126083000000001</v>
      </c>
      <c r="J275" s="24">
        <f t="shared" si="20"/>
        <v>56.48107822222223</v>
      </c>
      <c r="K275" s="11">
        <v>12053398.488</v>
      </c>
      <c r="L275" s="11">
        <v>3641373.8990000002</v>
      </c>
      <c r="M275" s="11">
        <v>30037.077000000001</v>
      </c>
      <c r="N275" s="13">
        <v>57060</v>
      </c>
      <c r="O275" s="13">
        <f>95+96</f>
        <v>191</v>
      </c>
      <c r="P275" s="13">
        <f>279+180</f>
        <v>459</v>
      </c>
      <c r="Q275" s="13">
        <v>65</v>
      </c>
      <c r="R275" s="23">
        <v>7.3</v>
      </c>
      <c r="S275" s="13">
        <v>144</v>
      </c>
      <c r="T275" s="23">
        <v>2.8</v>
      </c>
      <c r="U275" s="15" t="s">
        <v>845</v>
      </c>
      <c r="V275" s="15" t="s">
        <v>846</v>
      </c>
      <c r="W275" s="20">
        <v>-5.24</v>
      </c>
      <c r="X275" s="20"/>
      <c r="Y275" s="20"/>
      <c r="Z275" s="20"/>
      <c r="AA275" s="16">
        <v>259266</v>
      </c>
      <c r="AB275" s="17">
        <f t="shared" si="22"/>
        <v>298.33409962355262</v>
      </c>
      <c r="AC275" s="27">
        <f t="shared" si="15"/>
        <v>4.1869202316169307E-3</v>
      </c>
      <c r="AD275" s="19">
        <v>28828</v>
      </c>
      <c r="AE275" s="28">
        <f t="shared" si="23"/>
        <v>-3.180520570948786E-2</v>
      </c>
      <c r="AF275" s="16">
        <v>146810000</v>
      </c>
      <c r="AG275" s="30">
        <f t="shared" si="24"/>
        <v>2.1286956521739064E-2</v>
      </c>
      <c r="AH275" s="16">
        <v>13887000</v>
      </c>
      <c r="AI275" s="30">
        <f t="shared" si="25"/>
        <v>6.0856335579222431E-3</v>
      </c>
      <c r="AJ275" s="7">
        <f t="shared" si="27"/>
        <v>1553376.96</v>
      </c>
      <c r="AK275" s="27">
        <f t="shared" si="27"/>
        <v>-7.0964319256712205E-3</v>
      </c>
    </row>
    <row r="276" spans="1:37" ht="22.5" x14ac:dyDescent="0.55000000000000004">
      <c r="A276" s="7" t="s">
        <v>847</v>
      </c>
      <c r="B276" s="25">
        <v>0.61458333333333337</v>
      </c>
      <c r="C276" s="7">
        <v>1534028.21</v>
      </c>
      <c r="D276" s="27">
        <f t="shared" si="26"/>
        <v>-1.2455926988900412E-2</v>
      </c>
      <c r="E276" s="7">
        <v>424845.45</v>
      </c>
      <c r="F276" s="27">
        <f t="shared" si="6"/>
        <v>-1.7793422763600741E-2</v>
      </c>
      <c r="G276" s="9">
        <v>60878242.634000003</v>
      </c>
      <c r="H276" s="9">
        <v>44464.667999999998</v>
      </c>
      <c r="I276" s="24">
        <f t="shared" si="19"/>
        <v>44.464667999999996</v>
      </c>
      <c r="J276" s="24">
        <f t="shared" si="20"/>
        <v>54.066007111111112</v>
      </c>
      <c r="K276" s="11">
        <v>11975802.624</v>
      </c>
      <c r="L276" s="11">
        <v>3615680.162</v>
      </c>
      <c r="M276" s="11">
        <v>35406.928</v>
      </c>
      <c r="N276" s="13">
        <v>52820</v>
      </c>
      <c r="O276" s="13">
        <f>108+107</f>
        <v>215</v>
      </c>
      <c r="P276" s="13">
        <f>260+156</f>
        <v>416</v>
      </c>
      <c r="Q276" s="13">
        <v>67</v>
      </c>
      <c r="R276" s="23">
        <v>7.5</v>
      </c>
      <c r="S276" s="13">
        <v>96</v>
      </c>
      <c r="T276" s="23">
        <v>2.2999999999999998</v>
      </c>
      <c r="U276" s="15" t="s">
        <v>848</v>
      </c>
      <c r="V276" s="15" t="s">
        <v>849</v>
      </c>
      <c r="W276" s="20">
        <v>-6.89</v>
      </c>
      <c r="X276" s="20"/>
      <c r="Y276" s="20"/>
      <c r="Z276" s="20"/>
      <c r="AA276" s="16">
        <v>259383</v>
      </c>
      <c r="AB276" s="17">
        <f t="shared" si="22"/>
        <v>294.81394470724757</v>
      </c>
      <c r="AC276" s="27">
        <f t="shared" si="15"/>
        <v>4.5127398116218131E-4</v>
      </c>
      <c r="AD276" s="19">
        <v>29021</v>
      </c>
      <c r="AE276" s="28">
        <f t="shared" si="23"/>
        <v>6.6948799777992729E-3</v>
      </c>
      <c r="AF276" s="16">
        <v>148440000</v>
      </c>
      <c r="AG276" s="30">
        <f t="shared" si="24"/>
        <v>1.1102785913766011E-2</v>
      </c>
      <c r="AH276" s="16">
        <v>14023000</v>
      </c>
      <c r="AI276" s="30">
        <f t="shared" si="25"/>
        <v>9.7933318931373581E-3</v>
      </c>
      <c r="AJ276" s="7">
        <f t="shared" si="27"/>
        <v>1534028.21</v>
      </c>
      <c r="AK276" s="27">
        <f t="shared" si="27"/>
        <v>-1.2455926988900412E-2</v>
      </c>
    </row>
    <row r="277" spans="1:37" ht="22.5" x14ac:dyDescent="0.55000000000000004">
      <c r="A277" s="7" t="s">
        <v>850</v>
      </c>
      <c r="B277" s="25">
        <v>0.53888888888888886</v>
      </c>
      <c r="C277" s="7">
        <v>1537374.43</v>
      </c>
      <c r="D277" s="27">
        <f t="shared" si="26"/>
        <v>2.1813288557450683E-3</v>
      </c>
      <c r="E277" s="7">
        <v>425200.04</v>
      </c>
      <c r="F277" s="27">
        <f t="shared" si="6"/>
        <v>8.3463292357244256E-4</v>
      </c>
      <c r="G277" s="9">
        <v>61018230.546999998</v>
      </c>
      <c r="H277" s="9">
        <v>43143.123</v>
      </c>
      <c r="I277" s="24">
        <f t="shared" si="19"/>
        <v>43.143123000000003</v>
      </c>
      <c r="J277" s="24">
        <f t="shared" si="20"/>
        <v>50.757867222222224</v>
      </c>
      <c r="K277" s="11">
        <v>12022755.411</v>
      </c>
      <c r="L277" s="11">
        <v>3601823.4559999998</v>
      </c>
      <c r="M277" s="11">
        <v>1551230.3540000001</v>
      </c>
      <c r="N277" s="13">
        <v>49090</v>
      </c>
      <c r="O277" s="13">
        <f>159+168</f>
        <v>327</v>
      </c>
      <c r="P277" s="13">
        <f>166+198</f>
        <v>364</v>
      </c>
      <c r="Q277" s="13">
        <v>78</v>
      </c>
      <c r="R277" s="23">
        <v>6.15</v>
      </c>
      <c r="S277" s="13">
        <v>71</v>
      </c>
      <c r="T277" s="23">
        <v>1.3</v>
      </c>
      <c r="U277" s="15" t="s">
        <v>851</v>
      </c>
      <c r="V277" s="15" t="s">
        <v>852</v>
      </c>
      <c r="W277" s="20">
        <v>-3.12</v>
      </c>
      <c r="X277" s="20"/>
      <c r="Y277" s="20"/>
      <c r="Z277" s="20"/>
      <c r="AA277" s="16">
        <v>259391</v>
      </c>
      <c r="AB277" s="17">
        <f t="shared" si="22"/>
        <v>295.47212283386858</v>
      </c>
      <c r="AC277" s="27">
        <f t="shared" si="15"/>
        <v>3.0842422209520493E-5</v>
      </c>
      <c r="AD277" s="19">
        <v>30628</v>
      </c>
      <c r="AE277" s="28">
        <f t="shared" si="23"/>
        <v>5.5373694910582083E-2</v>
      </c>
      <c r="AF277" s="16">
        <v>149440000</v>
      </c>
      <c r="AG277" s="30">
        <f t="shared" si="24"/>
        <v>6.7367286445700891E-3</v>
      </c>
      <c r="AH277" s="16">
        <v>13797000</v>
      </c>
      <c r="AI277" s="30">
        <f t="shared" si="25"/>
        <v>-1.6116380232475191E-2</v>
      </c>
      <c r="AJ277" s="7">
        <f t="shared" si="27"/>
        <v>1537374.43</v>
      </c>
      <c r="AK277" s="27">
        <f t="shared" si="27"/>
        <v>2.1813288557450683E-3</v>
      </c>
    </row>
    <row r="278" spans="1:37" ht="22.5" x14ac:dyDescent="0.55000000000000004">
      <c r="A278" s="7" t="s">
        <v>853</v>
      </c>
      <c r="B278" s="25">
        <v>0.65277777777777779</v>
      </c>
      <c r="C278" s="7">
        <v>1542712.39</v>
      </c>
      <c r="D278" s="27">
        <f t="shared" si="26"/>
        <v>3.4721274764535348E-3</v>
      </c>
      <c r="E278" s="7">
        <v>428321.27</v>
      </c>
      <c r="F278" s="27">
        <f t="shared" si="6"/>
        <v>7.3406154900645948E-3</v>
      </c>
      <c r="G278" s="9">
        <v>61233735.887999997</v>
      </c>
      <c r="H278" s="9">
        <v>34168.400999999998</v>
      </c>
      <c r="I278" s="24">
        <f t="shared" si="19"/>
        <v>34.168400999999996</v>
      </c>
      <c r="J278" s="24">
        <f t="shared" si="20"/>
        <v>48.903795777777781</v>
      </c>
      <c r="K278" s="11">
        <v>12047949.925000001</v>
      </c>
      <c r="L278" s="11">
        <v>3608071.6839999999</v>
      </c>
      <c r="M278" s="11">
        <v>265232.17</v>
      </c>
      <c r="N278" s="13">
        <v>43500</v>
      </c>
      <c r="O278" s="13">
        <f>231+158</f>
        <v>389</v>
      </c>
      <c r="P278" s="13">
        <f>135+99</f>
        <v>234</v>
      </c>
      <c r="Q278" s="13">
        <v>99</v>
      </c>
      <c r="R278" s="23">
        <v>5.05</v>
      </c>
      <c r="S278" s="13">
        <v>55</v>
      </c>
      <c r="T278" s="23">
        <v>1.35</v>
      </c>
      <c r="U278" s="15" t="s">
        <v>854</v>
      </c>
      <c r="V278" s="15" t="s">
        <v>855</v>
      </c>
      <c r="W278" s="20">
        <v>-0.42</v>
      </c>
      <c r="X278" s="20"/>
      <c r="Y278" s="20"/>
      <c r="Z278" s="20"/>
      <c r="AA278" s="16">
        <v>259793</v>
      </c>
      <c r="AB278" s="17">
        <f t="shared" si="22"/>
        <v>295.96547057464977</v>
      </c>
      <c r="AC278" s="27">
        <f t="shared" si="15"/>
        <v>1.5497839169438254E-3</v>
      </c>
      <c r="AD278" s="19">
        <v>31656</v>
      </c>
      <c r="AE278" s="28">
        <f t="shared" si="23"/>
        <v>3.3564059030952054E-2</v>
      </c>
      <c r="AF278" s="16">
        <v>151750000</v>
      </c>
      <c r="AG278" s="30">
        <f t="shared" si="24"/>
        <v>1.5457708779443191E-2</v>
      </c>
      <c r="AH278" s="16">
        <v>14270000</v>
      </c>
      <c r="AI278" s="30">
        <f t="shared" si="25"/>
        <v>3.4282815104732967E-2</v>
      </c>
      <c r="AJ278" s="7">
        <f t="shared" si="27"/>
        <v>1542712.39</v>
      </c>
      <c r="AK278" s="27">
        <f t="shared" si="27"/>
        <v>3.4721274764535348E-3</v>
      </c>
    </row>
    <row r="279" spans="1:37" ht="22.5" x14ac:dyDescent="0.55000000000000004">
      <c r="A279" s="7" t="s">
        <v>856</v>
      </c>
      <c r="B279" s="25">
        <v>0.63541666666666663</v>
      </c>
      <c r="C279" s="7">
        <v>1541980</v>
      </c>
      <c r="D279" s="27">
        <f t="shared" si="26"/>
        <v>-4.7474176310979832E-4</v>
      </c>
      <c r="E279" s="7">
        <v>429657</v>
      </c>
      <c r="F279" s="27">
        <f t="shared" si="6"/>
        <v>3.118523625968761E-3</v>
      </c>
      <c r="G279" s="9">
        <v>61234257.821999997</v>
      </c>
      <c r="H279" s="9">
        <v>33333.866999999998</v>
      </c>
      <c r="I279" s="24">
        <f t="shared" si="19"/>
        <v>33.333866999999998</v>
      </c>
      <c r="J279" s="24">
        <f t="shared" si="20"/>
        <v>45.744300333333335</v>
      </c>
      <c r="K279" s="11">
        <v>11939828.6</v>
      </c>
      <c r="L279" s="11">
        <v>3607781.0040000002</v>
      </c>
      <c r="M279" s="11">
        <v>183840.758</v>
      </c>
      <c r="N279" s="13">
        <v>41200</v>
      </c>
      <c r="O279" s="13">
        <f>201+120</f>
        <v>321</v>
      </c>
      <c r="P279" s="13">
        <f>171+129</f>
        <v>300</v>
      </c>
      <c r="Q279" s="13">
        <v>85</v>
      </c>
      <c r="R279" s="23">
        <v>4.7</v>
      </c>
      <c r="S279" s="13">
        <v>50</v>
      </c>
      <c r="T279" s="23">
        <v>1.2</v>
      </c>
      <c r="U279" s="15" t="s">
        <v>857</v>
      </c>
      <c r="V279" s="15" t="s">
        <v>858</v>
      </c>
      <c r="W279" s="20">
        <v>-2.29</v>
      </c>
      <c r="X279" s="20"/>
      <c r="Y279" s="20"/>
      <c r="Z279" s="20"/>
      <c r="AA279" s="16">
        <v>260402</v>
      </c>
      <c r="AB279" s="17">
        <f t="shared" si="22"/>
        <v>294.85897737344567</v>
      </c>
      <c r="AC279" s="27">
        <f t="shared" si="15"/>
        <v>2.3441740154661606E-3</v>
      </c>
      <c r="AD279" s="19">
        <v>31559</v>
      </c>
      <c r="AE279" s="28">
        <f t="shared" si="23"/>
        <v>-3.0641900429618785E-3</v>
      </c>
      <c r="AF279" s="16">
        <v>153170000</v>
      </c>
      <c r="AG279" s="30">
        <f t="shared" si="24"/>
        <v>9.3574958813837927E-3</v>
      </c>
      <c r="AH279" s="16">
        <v>14346000</v>
      </c>
      <c r="AI279" s="30">
        <f t="shared" si="25"/>
        <v>5.3258584442887891E-3</v>
      </c>
      <c r="AJ279" s="7">
        <f t="shared" si="27"/>
        <v>1541980</v>
      </c>
      <c r="AK279" s="27">
        <f t="shared" si="27"/>
        <v>-4.7474176310979832E-4</v>
      </c>
    </row>
    <row r="280" spans="1:37" ht="22.5" x14ac:dyDescent="0.55000000000000004">
      <c r="A280" s="7" t="s">
        <v>859</v>
      </c>
      <c r="B280" s="25">
        <v>0.61111111111111105</v>
      </c>
      <c r="C280" s="7">
        <v>1514331.73</v>
      </c>
      <c r="D280" s="27">
        <f t="shared" si="26"/>
        <v>-1.7930368746676417E-2</v>
      </c>
      <c r="E280" s="7">
        <v>420006.43</v>
      </c>
      <c r="F280" s="27">
        <f t="shared" si="6"/>
        <v>-2.2461102693543955E-2</v>
      </c>
      <c r="G280" s="9">
        <v>60067479.678000003</v>
      </c>
      <c r="H280" s="9">
        <v>46179.065999999999</v>
      </c>
      <c r="I280" s="24">
        <f t="shared" si="19"/>
        <v>46.179065999999999</v>
      </c>
      <c r="J280" s="24">
        <f t="shared" si="20"/>
        <v>45.8059141111111</v>
      </c>
      <c r="K280" s="11">
        <v>11737150.344000001</v>
      </c>
      <c r="L280" s="11">
        <v>3576275.4950000001</v>
      </c>
      <c r="M280" s="11">
        <v>1503014.25</v>
      </c>
      <c r="N280" s="13">
        <v>49750</v>
      </c>
      <c r="O280" s="13">
        <f>50+100</f>
        <v>150</v>
      </c>
      <c r="P280" s="13">
        <f>213+316</f>
        <v>529</v>
      </c>
      <c r="Q280" s="13">
        <v>41</v>
      </c>
      <c r="R280" s="23">
        <v>2.1</v>
      </c>
      <c r="S280" s="13">
        <v>222</v>
      </c>
      <c r="T280" s="23">
        <v>4.5999999999999996</v>
      </c>
      <c r="U280" s="15" t="s">
        <v>860</v>
      </c>
      <c r="V280" s="15" t="s">
        <v>861</v>
      </c>
      <c r="W280" s="20">
        <v>-11.49</v>
      </c>
      <c r="X280" s="20"/>
      <c r="Y280" s="20"/>
      <c r="Z280" s="20"/>
      <c r="AA280" s="16">
        <v>264416</v>
      </c>
      <c r="AB280" s="17">
        <f t="shared" si="22"/>
        <v>285.08450894423942</v>
      </c>
      <c r="AC280" s="27">
        <f t="shared" si="15"/>
        <v>1.5414628151857457E-2</v>
      </c>
      <c r="AD280" s="19">
        <v>31450</v>
      </c>
      <c r="AE280" s="28">
        <f t="shared" si="23"/>
        <v>-3.4538483475394788E-3</v>
      </c>
      <c r="AF280" s="16">
        <v>150600000</v>
      </c>
      <c r="AG280" s="30">
        <f t="shared" si="24"/>
        <v>-1.6778742573611005E-2</v>
      </c>
      <c r="AH280" s="16">
        <v>14293000</v>
      </c>
      <c r="AI280" s="30">
        <f t="shared" si="25"/>
        <v>-3.694409591523784E-3</v>
      </c>
      <c r="AJ280" s="7">
        <f t="shared" si="27"/>
        <v>1514331.73</v>
      </c>
      <c r="AK280" s="27">
        <f t="shared" si="27"/>
        <v>-1.7930368746676417E-2</v>
      </c>
    </row>
    <row r="281" spans="1:37" ht="22.5" x14ac:dyDescent="0.55000000000000004">
      <c r="A281" s="7" t="s">
        <v>862</v>
      </c>
      <c r="B281" s="25">
        <v>0.60763888888888895</v>
      </c>
      <c r="C281" s="7">
        <v>1515383.61</v>
      </c>
      <c r="D281" s="27">
        <f t="shared" si="26"/>
        <v>6.9461662802261515E-4</v>
      </c>
      <c r="E281" s="7">
        <v>419064.98</v>
      </c>
      <c r="F281" s="27">
        <f t="shared" si="6"/>
        <v>-2.2415133025464051E-3</v>
      </c>
      <c r="G281" s="9">
        <v>60109312.858000003</v>
      </c>
      <c r="H281" s="9">
        <v>35479.811999999998</v>
      </c>
      <c r="I281" s="24">
        <f t="shared" si="19"/>
        <v>35.479811999999995</v>
      </c>
      <c r="J281" s="24">
        <f t="shared" si="20"/>
        <v>42.891971111111104</v>
      </c>
      <c r="K281" s="11">
        <v>11728834.641000001</v>
      </c>
      <c r="L281" s="11">
        <v>3550429.7239999999</v>
      </c>
      <c r="M281" s="11">
        <v>43796.415999999997</v>
      </c>
      <c r="N281" s="13">
        <v>39160</v>
      </c>
      <c r="O281" s="13">
        <f>167+104</f>
        <v>271</v>
      </c>
      <c r="P281" s="13">
        <f>140+197</f>
        <v>337</v>
      </c>
      <c r="Q281" s="13">
        <v>68</v>
      </c>
      <c r="R281" s="23">
        <v>2.9</v>
      </c>
      <c r="S281" s="13">
        <v>82</v>
      </c>
      <c r="T281" s="23">
        <v>1.5</v>
      </c>
      <c r="U281" s="15" t="s">
        <v>863</v>
      </c>
      <c r="V281" s="15" t="s">
        <v>864</v>
      </c>
      <c r="W281" s="20">
        <v>-4.5599999999999996</v>
      </c>
      <c r="X281" s="20"/>
      <c r="Y281" s="20"/>
      <c r="Z281" s="20"/>
      <c r="AA281" s="16">
        <v>265256</v>
      </c>
      <c r="AB281" s="17">
        <f t="shared" si="22"/>
        <v>284.21063886585034</v>
      </c>
      <c r="AC281" s="27">
        <f t="shared" si="15"/>
        <v>3.1768122957762657E-3</v>
      </c>
      <c r="AD281" s="19">
        <v>29575</v>
      </c>
      <c r="AE281" s="28">
        <f t="shared" si="23"/>
        <v>-5.9618441971383107E-2</v>
      </c>
      <c r="AF281" s="16">
        <v>148580000</v>
      </c>
      <c r="AG281" s="30">
        <f t="shared" si="24"/>
        <v>-1.3413014608233742E-2</v>
      </c>
      <c r="AH281" s="16">
        <v>14420000</v>
      </c>
      <c r="AI281" s="30">
        <f t="shared" si="25"/>
        <v>8.8854684111103754E-3</v>
      </c>
      <c r="AJ281" s="7">
        <f t="shared" ref="AJ281:AK312" si="28">C281</f>
        <v>1515383.61</v>
      </c>
      <c r="AK281" s="27">
        <f t="shared" si="28"/>
        <v>6.9461662802261515E-4</v>
      </c>
    </row>
    <row r="282" spans="1:37" ht="22.5" x14ac:dyDescent="0.55000000000000004">
      <c r="A282" s="7" t="s">
        <v>865</v>
      </c>
      <c r="B282" s="25">
        <v>0.58333333333333337</v>
      </c>
      <c r="C282" s="7">
        <v>1520299.08</v>
      </c>
      <c r="D282" s="27">
        <f t="shared" si="26"/>
        <v>3.243713319559971E-3</v>
      </c>
      <c r="E282" s="7">
        <v>421401.61</v>
      </c>
      <c r="F282" s="27">
        <f t="shared" si="6"/>
        <v>5.5758178600369135E-3</v>
      </c>
      <c r="G282" s="9">
        <v>60257575.969999999</v>
      </c>
      <c r="H282" s="9">
        <v>61299.006999999998</v>
      </c>
      <c r="I282" s="24">
        <f t="shared" si="19"/>
        <v>61.299006999999996</v>
      </c>
      <c r="J282" s="24">
        <f t="shared" si="20"/>
        <v>44.94150033333333</v>
      </c>
      <c r="K282" s="11">
        <v>11790755.949999999</v>
      </c>
      <c r="L282" s="11">
        <v>3556343.307</v>
      </c>
      <c r="M282" s="11">
        <v>54143</v>
      </c>
      <c r="N282" s="13">
        <v>33740</v>
      </c>
      <c r="O282" s="13">
        <v>367</v>
      </c>
      <c r="P282" s="13">
        <v>252</v>
      </c>
      <c r="Q282" s="13">
        <v>84</v>
      </c>
      <c r="R282" s="23">
        <v>4.5999999999999996</v>
      </c>
      <c r="S282" s="13">
        <v>53</v>
      </c>
      <c r="T282" s="23">
        <v>1.2</v>
      </c>
      <c r="U282" s="15" t="s">
        <v>866</v>
      </c>
      <c r="V282" s="15" t="s">
        <v>867</v>
      </c>
      <c r="W282" s="20">
        <v>-2.61</v>
      </c>
      <c r="X282" s="20"/>
      <c r="Y282" s="20"/>
      <c r="Z282" s="20"/>
      <c r="AA282" s="16">
        <v>267428</v>
      </c>
      <c r="AB282" s="17">
        <f t="shared" si="22"/>
        <v>282.71039392658957</v>
      </c>
      <c r="AC282" s="27">
        <f t="shared" si="15"/>
        <v>8.1883161926592507E-3</v>
      </c>
      <c r="AD282" s="19">
        <v>30483</v>
      </c>
      <c r="AE282" s="28">
        <f t="shared" si="23"/>
        <v>3.0701606086221522E-2</v>
      </c>
      <c r="AF282" s="16">
        <v>149360000</v>
      </c>
      <c r="AG282" s="30">
        <f t="shared" si="24"/>
        <v>5.2496971328577224E-3</v>
      </c>
      <c r="AH282" s="16">
        <v>14415000</v>
      </c>
      <c r="AI282" s="29">
        <f t="shared" si="25"/>
        <v>-3.4674063800277377E-4</v>
      </c>
      <c r="AJ282" s="7">
        <f t="shared" si="28"/>
        <v>1520299.08</v>
      </c>
      <c r="AK282" s="27">
        <f t="shared" si="28"/>
        <v>3.243713319559971E-3</v>
      </c>
    </row>
    <row r="283" spans="1:37" ht="22.5" x14ac:dyDescent="0.55000000000000004">
      <c r="A283" s="7" t="s">
        <v>868</v>
      </c>
      <c r="B283" s="25">
        <v>0.55208333333333337</v>
      </c>
      <c r="C283" s="7">
        <v>1518287.43</v>
      </c>
      <c r="D283" s="27">
        <f t="shared" si="26"/>
        <v>-1.3231935916189208E-3</v>
      </c>
      <c r="E283" s="7">
        <v>419864.99</v>
      </c>
      <c r="F283" s="27">
        <f t="shared" si="6"/>
        <v>-3.6464502354416339E-3</v>
      </c>
      <c r="G283" s="9">
        <v>60171754.409000002</v>
      </c>
      <c r="H283" s="9">
        <v>33689.703999999998</v>
      </c>
      <c r="I283" s="24">
        <f t="shared" si="19"/>
        <v>33.689703999999999</v>
      </c>
      <c r="J283" s="24">
        <f t="shared" si="20"/>
        <v>43.209303444444444</v>
      </c>
      <c r="K283" s="11">
        <v>11779430.006999999</v>
      </c>
      <c r="L283" s="11">
        <v>3565039.2510000002</v>
      </c>
      <c r="M283" s="11">
        <v>34775.997000000003</v>
      </c>
      <c r="N283" s="13">
        <v>36260</v>
      </c>
      <c r="O283" s="13">
        <f>136+90</f>
        <v>226</v>
      </c>
      <c r="P283" s="13">
        <f>220+167</f>
        <v>387</v>
      </c>
      <c r="Q283" s="13">
        <v>67</v>
      </c>
      <c r="R283" s="23">
        <v>4.55</v>
      </c>
      <c r="S283" s="13">
        <v>97</v>
      </c>
      <c r="T283" s="23">
        <v>1.3</v>
      </c>
      <c r="U283" s="15" t="s">
        <v>869</v>
      </c>
      <c r="V283" s="15" t="s">
        <v>870</v>
      </c>
      <c r="W283" s="20">
        <v>-4.8600000000000003</v>
      </c>
      <c r="X283" s="20"/>
      <c r="Y283" s="20"/>
      <c r="Z283" s="20"/>
      <c r="AA283" s="16">
        <v>268034</v>
      </c>
      <c r="AB283" s="17">
        <f t="shared" si="22"/>
        <v>281.74121069341948</v>
      </c>
      <c r="AC283" s="27">
        <f t="shared" si="15"/>
        <v>2.2660304829711375E-3</v>
      </c>
      <c r="AD283" s="19">
        <v>29180</v>
      </c>
      <c r="AE283" s="28">
        <f t="shared" si="23"/>
        <v>-4.2745136633533409E-2</v>
      </c>
      <c r="AF283" s="16">
        <v>157600000</v>
      </c>
      <c r="AG283" s="30">
        <f t="shared" si="24"/>
        <v>5.5168719871451444E-2</v>
      </c>
      <c r="AH283" s="16">
        <v>14796000</v>
      </c>
      <c r="AI283" s="29">
        <f t="shared" si="25"/>
        <v>2.6430801248699343E-2</v>
      </c>
      <c r="AJ283" s="7">
        <f t="shared" si="28"/>
        <v>1518287.43</v>
      </c>
      <c r="AK283" s="27">
        <f t="shared" si="28"/>
        <v>-1.3231935916189208E-3</v>
      </c>
    </row>
    <row r="284" spans="1:37" ht="22.5" x14ac:dyDescent="0.55000000000000004">
      <c r="A284" s="7" t="s">
        <v>871</v>
      </c>
      <c r="B284" s="25">
        <v>0.55555555555555558</v>
      </c>
      <c r="C284" s="7">
        <v>1532370.19</v>
      </c>
      <c r="D284" s="27">
        <f t="shared" si="26"/>
        <v>9.275424219246764E-3</v>
      </c>
      <c r="E284" s="7">
        <v>421426.82</v>
      </c>
      <c r="F284" s="27">
        <f t="shared" si="6"/>
        <v>3.7198386081203072E-3</v>
      </c>
      <c r="G284" s="9">
        <v>60761357.309</v>
      </c>
      <c r="H284" s="9">
        <v>45560.578000000001</v>
      </c>
      <c r="I284" s="24">
        <f t="shared" si="19"/>
        <v>45.560578</v>
      </c>
      <c r="J284" s="24">
        <f t="shared" si="20"/>
        <v>41.924247333333341</v>
      </c>
      <c r="K284" s="11">
        <v>11800099.036</v>
      </c>
      <c r="L284" s="11">
        <v>3560896.96</v>
      </c>
      <c r="M284" s="11">
        <v>54840.754000000001</v>
      </c>
      <c r="N284" s="13">
        <v>44690</v>
      </c>
      <c r="O284" s="13">
        <v>407</v>
      </c>
      <c r="P284" s="13">
        <v>220</v>
      </c>
      <c r="Q284" s="13">
        <v>68</v>
      </c>
      <c r="R284" s="23">
        <v>2.2999999999999998</v>
      </c>
      <c r="S284" s="13">
        <v>59</v>
      </c>
      <c r="T284" s="23">
        <v>1.2</v>
      </c>
      <c r="U284" s="15" t="s">
        <v>872</v>
      </c>
      <c r="V284" s="15" t="s">
        <v>873</v>
      </c>
      <c r="W284" s="20">
        <v>-0.4</v>
      </c>
      <c r="X284" s="20"/>
      <c r="Y284" s="20"/>
      <c r="Z284" s="20"/>
      <c r="AA284" s="16">
        <v>270446</v>
      </c>
      <c r="AB284" s="17">
        <f t="shared" si="22"/>
        <v>281.46969563239986</v>
      </c>
      <c r="AC284" s="27">
        <f t="shared" si="15"/>
        <v>8.998858353790995E-3</v>
      </c>
      <c r="AD284" s="19">
        <v>27622</v>
      </c>
      <c r="AE284" s="28">
        <f t="shared" si="23"/>
        <v>-5.3392734749828641E-2</v>
      </c>
      <c r="AF284" s="16">
        <v>163500000</v>
      </c>
      <c r="AG284" s="30">
        <f t="shared" si="24"/>
        <v>3.7436548223350297E-2</v>
      </c>
      <c r="AH284" s="16">
        <v>15046000</v>
      </c>
      <c r="AI284" s="29">
        <f t="shared" si="25"/>
        <v>1.6896458502297929E-2</v>
      </c>
      <c r="AJ284" s="7">
        <f t="shared" si="28"/>
        <v>1532370.19</v>
      </c>
      <c r="AK284" s="27">
        <f t="shared" si="28"/>
        <v>9.275424219246764E-3</v>
      </c>
    </row>
    <row r="285" spans="1:37" ht="22.5" x14ac:dyDescent="0.55000000000000004">
      <c r="A285" s="7" t="s">
        <v>874</v>
      </c>
      <c r="B285" s="25">
        <v>0.58333333333333337</v>
      </c>
      <c r="C285" s="7">
        <v>1571447.54</v>
      </c>
      <c r="D285" s="27">
        <f t="shared" si="26"/>
        <v>2.5501246536256517E-2</v>
      </c>
      <c r="E285" s="7">
        <v>429160.53</v>
      </c>
      <c r="F285" s="27">
        <f t="shared" si="6"/>
        <v>1.8351252537747831E-2</v>
      </c>
      <c r="G285" s="9">
        <v>62283463.633000001</v>
      </c>
      <c r="H285" s="9">
        <v>54149.917000000001</v>
      </c>
      <c r="I285" s="24">
        <f t="shared" si="19"/>
        <v>54.149917000000002</v>
      </c>
      <c r="J285" s="24">
        <f t="shared" si="20"/>
        <v>43.000386111111112</v>
      </c>
      <c r="K285" s="11">
        <v>12005065.409</v>
      </c>
      <c r="L285" s="11">
        <v>3580849.8650000002</v>
      </c>
      <c r="M285" s="11">
        <v>724591.41099999996</v>
      </c>
      <c r="N285" s="13">
        <v>57170</v>
      </c>
      <c r="O285" s="13">
        <f>305+203</f>
        <v>508</v>
      </c>
      <c r="P285" s="13">
        <f>73+123</f>
        <v>196</v>
      </c>
      <c r="Q285" s="13">
        <v>117</v>
      </c>
      <c r="R285" s="23">
        <v>3.8</v>
      </c>
      <c r="S285" s="13">
        <v>41</v>
      </c>
      <c r="T285" s="23">
        <v>0.9</v>
      </c>
      <c r="U285" s="15" t="s">
        <v>875</v>
      </c>
      <c r="V285" s="15" t="s">
        <v>876</v>
      </c>
      <c r="W285" s="20">
        <v>3.69</v>
      </c>
      <c r="X285" s="20"/>
      <c r="Y285" s="20"/>
      <c r="Z285" s="20"/>
      <c r="AA285" s="16">
        <v>272450</v>
      </c>
      <c r="AB285" s="17">
        <f t="shared" si="22"/>
        <v>285.81163115066988</v>
      </c>
      <c r="AC285" s="27">
        <f t="shared" si="15"/>
        <v>7.4099820296842367E-3</v>
      </c>
      <c r="AD285" s="19">
        <v>24241</v>
      </c>
      <c r="AE285" s="28">
        <f t="shared" si="23"/>
        <v>-0.1224024328433857</v>
      </c>
      <c r="AF285" s="16">
        <v>159899900</v>
      </c>
      <c r="AG285" s="30">
        <f t="shared" si="24"/>
        <v>-2.2018960244648333E-2</v>
      </c>
      <c r="AH285" s="16">
        <v>14909000</v>
      </c>
      <c r="AI285" s="29">
        <f t="shared" si="25"/>
        <v>-9.1054100757675949E-3</v>
      </c>
      <c r="AJ285" s="7">
        <f t="shared" si="28"/>
        <v>1571447.54</v>
      </c>
      <c r="AK285" s="27">
        <f t="shared" si="28"/>
        <v>2.5501246536256517E-2</v>
      </c>
    </row>
    <row r="286" spans="1:37" ht="22.5" x14ac:dyDescent="0.55000000000000004">
      <c r="A286" s="7" t="s">
        <v>877</v>
      </c>
      <c r="B286" s="25">
        <v>0.58333333333333337</v>
      </c>
      <c r="C286" s="7">
        <v>1574065.49</v>
      </c>
      <c r="D286" s="27">
        <f t="shared" si="26"/>
        <v>1.6659480723104636E-3</v>
      </c>
      <c r="E286" s="7">
        <v>429930.62</v>
      </c>
      <c r="F286" s="27">
        <f t="shared" si="6"/>
        <v>1.7944101243418942E-3</v>
      </c>
      <c r="G286" s="9">
        <v>62380691.836000003</v>
      </c>
      <c r="H286" s="9">
        <v>44832.934000000001</v>
      </c>
      <c r="I286" s="24">
        <f t="shared" si="19"/>
        <v>44.832934000000002</v>
      </c>
      <c r="J286" s="24">
        <f t="shared" si="20"/>
        <v>43.188142888888891</v>
      </c>
      <c r="K286" s="11">
        <v>12037770.208000001</v>
      </c>
      <c r="L286" s="11">
        <v>3582145.9339999999</v>
      </c>
      <c r="M286" s="11">
        <v>55006.74</v>
      </c>
      <c r="N286" s="13">
        <v>49570</v>
      </c>
      <c r="O286" s="13">
        <f>165+133</f>
        <v>298</v>
      </c>
      <c r="P286" s="13">
        <f>220+159</f>
        <v>379</v>
      </c>
      <c r="Q286" s="13">
        <v>69</v>
      </c>
      <c r="R286" s="23">
        <v>3.3</v>
      </c>
      <c r="S286" s="13">
        <v>58</v>
      </c>
      <c r="T286" s="23">
        <v>1.9</v>
      </c>
      <c r="U286" s="15" t="s">
        <v>878</v>
      </c>
      <c r="V286" s="15" t="s">
        <v>879</v>
      </c>
      <c r="W286" s="20">
        <v>-3.27</v>
      </c>
      <c r="X286" s="20"/>
      <c r="Y286" s="20"/>
      <c r="Z286" s="20"/>
      <c r="AA286" s="16">
        <v>273235</v>
      </c>
      <c r="AB286" s="17">
        <f t="shared" si="22"/>
        <v>285.47077782128935</v>
      </c>
      <c r="AC286" s="27">
        <f t="shared" si="15"/>
        <v>2.8812626169938405E-3</v>
      </c>
      <c r="AD286" s="19">
        <v>22591</v>
      </c>
      <c r="AE286" s="28">
        <f t="shared" si="23"/>
        <v>-6.8066498906810824E-2</v>
      </c>
      <c r="AF286" s="16">
        <v>158140000</v>
      </c>
      <c r="AG286" s="30">
        <f t="shared" si="24"/>
        <v>-1.1006260791907918E-2</v>
      </c>
      <c r="AH286" s="16">
        <v>14658000</v>
      </c>
      <c r="AI286" s="29">
        <f t="shared" si="25"/>
        <v>-1.6835468508954343E-2</v>
      </c>
      <c r="AJ286" s="7">
        <f t="shared" si="28"/>
        <v>1574065.49</v>
      </c>
      <c r="AK286" s="27">
        <f t="shared" si="28"/>
        <v>1.6659480723104636E-3</v>
      </c>
    </row>
    <row r="287" spans="1:37" ht="22.5" x14ac:dyDescent="0.55000000000000004">
      <c r="A287" s="7" t="s">
        <v>880</v>
      </c>
      <c r="B287" s="25">
        <v>0.58333333333333337</v>
      </c>
      <c r="C287" s="7">
        <v>1564328.47</v>
      </c>
      <c r="D287" s="27">
        <f t="shared" si="26"/>
        <v>-6.1859052637003309E-3</v>
      </c>
      <c r="E287" s="7">
        <v>428931.62</v>
      </c>
      <c r="F287" s="27">
        <f t="shared" si="6"/>
        <v>-2.3236307290697145E-3</v>
      </c>
      <c r="G287" s="9">
        <v>61993941.671999998</v>
      </c>
      <c r="H287" s="9">
        <v>32284.592000000001</v>
      </c>
      <c r="I287" s="24">
        <f t="shared" si="19"/>
        <v>32.284592000000004</v>
      </c>
      <c r="J287" s="24">
        <f t="shared" si="20"/>
        <v>42.97883077777778</v>
      </c>
      <c r="K287" s="11">
        <v>11974430.827</v>
      </c>
      <c r="L287" s="11">
        <v>3573457.37</v>
      </c>
      <c r="M287" s="11">
        <v>39454.936999999998</v>
      </c>
      <c r="N287" s="13">
        <v>34980</v>
      </c>
      <c r="O287" s="13">
        <f>114+141</f>
        <v>255</v>
      </c>
      <c r="P287" s="13">
        <f>258+236</f>
        <v>494</v>
      </c>
      <c r="Q287" s="13">
        <v>79</v>
      </c>
      <c r="R287" s="23">
        <v>2.4</v>
      </c>
      <c r="S287" s="13">
        <v>48</v>
      </c>
      <c r="T287" s="23">
        <v>1.06</v>
      </c>
      <c r="U287" s="15" t="s">
        <v>881</v>
      </c>
      <c r="V287" s="15" t="s">
        <v>882</v>
      </c>
      <c r="W287" s="20">
        <v>-3.48</v>
      </c>
      <c r="X287" s="20"/>
      <c r="Y287" s="20"/>
      <c r="Z287" s="20"/>
      <c r="AA287" s="16">
        <v>274265</v>
      </c>
      <c r="AB287" s="17">
        <f t="shared" si="22"/>
        <v>282.72593976263835</v>
      </c>
      <c r="AC287" s="27">
        <f t="shared" si="15"/>
        <v>3.7696488370815295E-3</v>
      </c>
      <c r="AD287" s="19">
        <v>20183</v>
      </c>
      <c r="AE287" s="28">
        <f t="shared" si="23"/>
        <v>-0.1065911203576646</v>
      </c>
      <c r="AF287" s="16">
        <v>152370000</v>
      </c>
      <c r="AG287" s="30">
        <f t="shared" si="24"/>
        <v>-3.6486657392184152E-2</v>
      </c>
      <c r="AH287" s="16">
        <v>14420000</v>
      </c>
      <c r="AI287" s="29">
        <f t="shared" si="25"/>
        <v>-1.6236867239732611E-2</v>
      </c>
      <c r="AJ287" s="7">
        <f t="shared" si="28"/>
        <v>1564328.47</v>
      </c>
      <c r="AK287" s="27">
        <f t="shared" si="28"/>
        <v>-6.1859052637003309E-3</v>
      </c>
    </row>
    <row r="288" spans="1:37" ht="22.5" x14ac:dyDescent="0.55000000000000004">
      <c r="A288" s="7" t="s">
        <v>883</v>
      </c>
      <c r="B288" s="25">
        <v>0.60416666666666663</v>
      </c>
      <c r="C288" s="7">
        <v>1547752.11</v>
      </c>
      <c r="D288" s="27">
        <f t="shared" si="26"/>
        <v>-1.0596470190176843E-2</v>
      </c>
      <c r="E288" s="7">
        <v>425181.62</v>
      </c>
      <c r="F288" s="27">
        <f t="shared" si="6"/>
        <v>-8.742652267044293E-3</v>
      </c>
      <c r="G288" s="9">
        <v>61331901.597999997</v>
      </c>
      <c r="H288" s="9">
        <v>40819.123</v>
      </c>
      <c r="I288" s="24">
        <f t="shared" si="19"/>
        <v>40.819122999999998</v>
      </c>
      <c r="J288" s="24">
        <f t="shared" si="20"/>
        <v>43.810525888888883</v>
      </c>
      <c r="K288" s="11">
        <v>11839366.710999999</v>
      </c>
      <c r="L288" s="11">
        <v>3555884.9750000001</v>
      </c>
      <c r="M288" s="11">
        <v>33461.904000000002</v>
      </c>
      <c r="N288" s="13">
        <v>40610</v>
      </c>
      <c r="O288" s="13">
        <f>103+83</f>
        <v>186</v>
      </c>
      <c r="P288" s="13">
        <f>195+272</f>
        <v>467</v>
      </c>
      <c r="Q288" s="13">
        <v>61</v>
      </c>
      <c r="R288" s="23">
        <v>1.7</v>
      </c>
      <c r="S288" s="13">
        <v>91</v>
      </c>
      <c r="T288" s="23">
        <v>3.2</v>
      </c>
      <c r="U288" s="15" t="s">
        <v>884</v>
      </c>
      <c r="V288" s="15" t="s">
        <v>885</v>
      </c>
      <c r="W288" s="20">
        <v>-7.47</v>
      </c>
      <c r="X288" s="20"/>
      <c r="Y288" s="20"/>
      <c r="Z288" s="20"/>
      <c r="AA288" s="16">
        <v>274365</v>
      </c>
      <c r="AB288" s="17">
        <f t="shared" si="22"/>
        <v>279.65357565287115</v>
      </c>
      <c r="AC288" s="27">
        <f t="shared" si="15"/>
        <v>3.6461086905004159E-4</v>
      </c>
      <c r="AD288" s="19">
        <v>19090</v>
      </c>
      <c r="AE288" s="28">
        <f t="shared" si="23"/>
        <v>-5.4154486448991679E-2</v>
      </c>
      <c r="AF288" s="16">
        <v>155940000</v>
      </c>
      <c r="AG288" s="30">
        <f t="shared" si="24"/>
        <v>2.3429809017523118E-2</v>
      </c>
      <c r="AH288" s="16">
        <v>14503000</v>
      </c>
      <c r="AI288" s="29">
        <f t="shared" si="25"/>
        <v>5.7558945908460224E-3</v>
      </c>
      <c r="AJ288" s="7">
        <f t="shared" si="28"/>
        <v>1547752.11</v>
      </c>
      <c r="AK288" s="27">
        <f t="shared" si="28"/>
        <v>-1.0596470190176843E-2</v>
      </c>
    </row>
    <row r="289" spans="1:37" ht="22.5" x14ac:dyDescent="0.55000000000000004">
      <c r="A289" s="7" t="s">
        <v>886</v>
      </c>
      <c r="B289" s="25">
        <v>0.58333333333333337</v>
      </c>
      <c r="C289" s="7">
        <v>1545963.83</v>
      </c>
      <c r="D289" s="27">
        <f t="shared" si="26"/>
        <v>-1.1554046597294088E-3</v>
      </c>
      <c r="E289" s="7">
        <v>425360.56</v>
      </c>
      <c r="F289" s="27">
        <f t="shared" si="6"/>
        <v>4.208554452564961E-4</v>
      </c>
      <c r="G289" s="9">
        <v>61256999.255999997</v>
      </c>
      <c r="H289" s="9">
        <v>36549.031000000003</v>
      </c>
      <c r="I289" s="24">
        <f t="shared" si="19"/>
        <v>36.549030999999999</v>
      </c>
      <c r="J289" s="24">
        <f t="shared" si="20"/>
        <v>42.740522000000006</v>
      </c>
      <c r="K289" s="11">
        <v>11664383.187000001</v>
      </c>
      <c r="L289" s="11">
        <v>3557606.9</v>
      </c>
      <c r="M289" s="11">
        <v>24938.281999999999</v>
      </c>
      <c r="N289" s="13">
        <v>42710</v>
      </c>
      <c r="O289" s="13">
        <v>270</v>
      </c>
      <c r="P289" s="13">
        <v>388</v>
      </c>
      <c r="Q289" s="13">
        <v>61</v>
      </c>
      <c r="R289" s="23">
        <v>2.8</v>
      </c>
      <c r="S289" s="13">
        <v>84</v>
      </c>
      <c r="T289" s="23">
        <v>3.6</v>
      </c>
      <c r="U289" s="15" t="s">
        <v>887</v>
      </c>
      <c r="V289" s="15" t="s">
        <v>888</v>
      </c>
      <c r="W289" s="20">
        <v>-4.7</v>
      </c>
      <c r="X289" s="20"/>
      <c r="Y289" s="20"/>
      <c r="Z289" s="20"/>
      <c r="AA289" s="16">
        <v>274466</v>
      </c>
      <c r="AB289" s="17">
        <f t="shared" si="22"/>
        <v>278.64649662617592</v>
      </c>
      <c r="AC289" s="27">
        <f t="shared" si="15"/>
        <v>3.6812275618247625E-4</v>
      </c>
      <c r="AD289" s="19">
        <v>18857</v>
      </c>
      <c r="AE289" s="28">
        <f t="shared" si="23"/>
        <v>-1.2205343111576727E-2</v>
      </c>
      <c r="AF289" s="16">
        <v>154910000</v>
      </c>
      <c r="AG289" s="30">
        <f t="shared" si="24"/>
        <v>-6.6051045273822773E-3</v>
      </c>
      <c r="AH289" s="16">
        <v>14323000</v>
      </c>
      <c r="AI289" s="29">
        <f t="shared" si="25"/>
        <v>-1.2411225263738501E-2</v>
      </c>
      <c r="AJ289" s="7">
        <f t="shared" si="28"/>
        <v>1545963.83</v>
      </c>
      <c r="AK289" s="27">
        <f t="shared" si="28"/>
        <v>-1.1554046597294088E-3</v>
      </c>
    </row>
    <row r="290" spans="1:37" ht="22.5" x14ac:dyDescent="0.55000000000000004">
      <c r="A290" s="7" t="s">
        <v>889</v>
      </c>
      <c r="B290" s="25">
        <v>0.60416666666666663</v>
      </c>
      <c r="C290" s="7">
        <v>1547248.97</v>
      </c>
      <c r="D290" s="27">
        <f t="shared" si="26"/>
        <v>8.3128723651948455E-4</v>
      </c>
      <c r="E290" s="7">
        <v>426584.04</v>
      </c>
      <c r="F290" s="27">
        <f t="shared" si="6"/>
        <v>2.8763362545882742E-3</v>
      </c>
      <c r="G290" s="9">
        <v>61302887.302000001</v>
      </c>
      <c r="H290" s="9">
        <v>37862.017</v>
      </c>
      <c r="I290" s="24">
        <f t="shared" si="19"/>
        <v>37.862017000000002</v>
      </c>
      <c r="J290" s="24">
        <f t="shared" si="20"/>
        <v>43.005211444444441</v>
      </c>
      <c r="K290" s="11">
        <v>11678393.631999999</v>
      </c>
      <c r="L290" s="11">
        <v>3563558.2409999999</v>
      </c>
      <c r="M290" s="11">
        <v>1279176.6200000001</v>
      </c>
      <c r="N290" s="13">
        <v>45340</v>
      </c>
      <c r="O290" s="13">
        <f>137+169</f>
        <v>306</v>
      </c>
      <c r="P290" s="13">
        <f>231+207</f>
        <v>438</v>
      </c>
      <c r="Q290" s="13">
        <v>61</v>
      </c>
      <c r="R290" s="23">
        <v>2.7</v>
      </c>
      <c r="S290" s="13">
        <v>75</v>
      </c>
      <c r="T290" s="23">
        <v>1.5</v>
      </c>
      <c r="U290" s="15" t="s">
        <v>890</v>
      </c>
      <c r="V290" s="15" t="s">
        <v>891</v>
      </c>
      <c r="W290" s="20">
        <v>-2.93</v>
      </c>
      <c r="X290" s="20"/>
      <c r="Y290" s="20"/>
      <c r="Z290" s="20"/>
      <c r="AA290" s="16">
        <v>276526</v>
      </c>
      <c r="AB290" s="17">
        <f t="shared" si="22"/>
        <v>276.80883235211155</v>
      </c>
      <c r="AC290" s="27">
        <f t="shared" si="15"/>
        <v>7.5054833749899075E-3</v>
      </c>
      <c r="AD290" s="19">
        <v>20670</v>
      </c>
      <c r="AE290" s="28">
        <f t="shared" si="23"/>
        <v>9.6144667762634528E-2</v>
      </c>
      <c r="AF290" s="16">
        <v>153970000</v>
      </c>
      <c r="AG290" s="30">
        <f t="shared" si="24"/>
        <v>-6.068039506810452E-3</v>
      </c>
      <c r="AH290" s="16">
        <v>14300000</v>
      </c>
      <c r="AI290" s="29">
        <f t="shared" si="25"/>
        <v>-1.605808838930356E-3</v>
      </c>
      <c r="AJ290" s="7">
        <f t="shared" si="28"/>
        <v>1547248.97</v>
      </c>
      <c r="AK290" s="27">
        <f t="shared" si="28"/>
        <v>8.3128723651948455E-4</v>
      </c>
    </row>
    <row r="291" spans="1:37" ht="22.5" x14ac:dyDescent="0.55000000000000004">
      <c r="A291" s="7" t="s">
        <v>892</v>
      </c>
      <c r="B291" s="25">
        <v>0.61111111111111105</v>
      </c>
      <c r="C291" s="7">
        <v>1539630.03</v>
      </c>
      <c r="D291" s="27">
        <f t="shared" si="26"/>
        <v>-4.9241848905544616E-3</v>
      </c>
      <c r="E291" s="7">
        <v>423456.81</v>
      </c>
      <c r="F291" s="27">
        <f t="shared" si="6"/>
        <v>-7.3308649803213166E-3</v>
      </c>
      <c r="G291" s="9">
        <v>60993914.982000001</v>
      </c>
      <c r="H291" s="9">
        <v>34285.466</v>
      </c>
      <c r="I291" s="24">
        <f t="shared" si="19"/>
        <v>34.285466</v>
      </c>
      <c r="J291" s="24">
        <f t="shared" si="20"/>
        <v>40.003706888888885</v>
      </c>
      <c r="K291" s="11">
        <v>11562882.259</v>
      </c>
      <c r="L291" s="11">
        <v>3558737.1770000001</v>
      </c>
      <c r="M291" s="11">
        <v>41567.754000000001</v>
      </c>
      <c r="N291" s="13">
        <v>37100</v>
      </c>
      <c r="O291" s="13">
        <f>106+76</f>
        <v>182</v>
      </c>
      <c r="P291" s="13">
        <f>286+217</f>
        <v>503</v>
      </c>
      <c r="Q291" s="13">
        <v>46</v>
      </c>
      <c r="R291" s="23">
        <v>2.17</v>
      </c>
      <c r="S291" s="13">
        <v>82</v>
      </c>
      <c r="T291" s="23">
        <v>1.3</v>
      </c>
      <c r="U291" s="15" t="s">
        <v>893</v>
      </c>
      <c r="V291" s="15" t="s">
        <v>894</v>
      </c>
      <c r="W291" s="20">
        <v>-4.51</v>
      </c>
      <c r="X291" s="20"/>
      <c r="Y291" s="20"/>
      <c r="Z291" s="20"/>
      <c r="AA291" s="16">
        <v>276375</v>
      </c>
      <c r="AB291" s="17">
        <f t="shared" si="22"/>
        <v>275.40672788059703</v>
      </c>
      <c r="AC291" s="27">
        <f t="shared" si="15"/>
        <v>-5.4606076824603722E-4</v>
      </c>
      <c r="AD291" s="19">
        <v>21195</v>
      </c>
      <c r="AE291" s="28">
        <f t="shared" si="23"/>
        <v>2.539912917271403E-2</v>
      </c>
      <c r="AF291" s="16">
        <v>154850000</v>
      </c>
      <c r="AG291" s="30">
        <f t="shared" si="24"/>
        <v>5.7153991037215413E-3</v>
      </c>
      <c r="AH291" s="16">
        <v>14369000</v>
      </c>
      <c r="AI291" s="29">
        <f t="shared" si="25"/>
        <v>4.8251748251748605E-3</v>
      </c>
      <c r="AJ291" s="7">
        <f t="shared" si="28"/>
        <v>1539630.03</v>
      </c>
      <c r="AK291" s="27">
        <f t="shared" si="28"/>
        <v>-4.9241848905544616E-3</v>
      </c>
    </row>
    <row r="292" spans="1:37" ht="22.5" x14ac:dyDescent="0.55000000000000004">
      <c r="A292" s="7" t="s">
        <v>895</v>
      </c>
      <c r="B292" s="25">
        <v>0.54166666666666663</v>
      </c>
      <c r="C292" s="7">
        <v>1533398.92</v>
      </c>
      <c r="D292" s="27">
        <f t="shared" si="26"/>
        <v>-4.0471476124690486E-3</v>
      </c>
      <c r="E292" s="7">
        <v>422295.43</v>
      </c>
      <c r="F292" s="27">
        <f t="shared" si="6"/>
        <v>-2.7426173639762963E-3</v>
      </c>
      <c r="G292" s="9">
        <v>60730911.662</v>
      </c>
      <c r="H292" s="9">
        <v>42603.427000000003</v>
      </c>
      <c r="I292" s="24">
        <f t="shared" si="19"/>
        <v>42.603427000000003</v>
      </c>
      <c r="J292" s="24">
        <f t="shared" si="20"/>
        <v>40.994120555555554</v>
      </c>
      <c r="K292" s="11">
        <v>11473809.509</v>
      </c>
      <c r="L292" s="11">
        <v>3585147.3309999998</v>
      </c>
      <c r="M292" s="11">
        <v>37539.031000000003</v>
      </c>
      <c r="N292" s="13">
        <v>39000</v>
      </c>
      <c r="O292" s="13">
        <f>143+108</f>
        <v>251</v>
      </c>
      <c r="P292" s="13">
        <f>248+175</f>
        <v>423</v>
      </c>
      <c r="Q292" s="13">
        <v>69</v>
      </c>
      <c r="R292" s="23">
        <v>2.9</v>
      </c>
      <c r="S292" s="13">
        <v>54</v>
      </c>
      <c r="T292" s="23">
        <v>1.07</v>
      </c>
      <c r="U292" s="15" t="s">
        <v>896</v>
      </c>
      <c r="V292" s="15" t="s">
        <v>897</v>
      </c>
      <c r="W292" s="20">
        <v>-4.0199999999999996</v>
      </c>
      <c r="X292" s="20"/>
      <c r="Y292" s="20"/>
      <c r="Z292" s="20"/>
      <c r="AA292" s="16">
        <v>276958</v>
      </c>
      <c r="AB292" s="17">
        <f t="shared" si="22"/>
        <v>273.65112580968957</v>
      </c>
      <c r="AC292" s="27">
        <f t="shared" si="15"/>
        <v>2.1094527363183513E-3</v>
      </c>
      <c r="AD292" s="19">
        <v>20202</v>
      </c>
      <c r="AE292" s="28">
        <f t="shared" si="23"/>
        <v>-4.6850672328379361E-2</v>
      </c>
      <c r="AF292" s="16">
        <v>155470000</v>
      </c>
      <c r="AG292" s="30">
        <f t="shared" si="24"/>
        <v>4.0038747174684364E-3</v>
      </c>
      <c r="AH292" s="16">
        <v>14466000</v>
      </c>
      <c r="AI292" s="29">
        <f t="shared" si="25"/>
        <v>6.7506437469553315E-3</v>
      </c>
      <c r="AJ292" s="7">
        <f t="shared" si="28"/>
        <v>1533398.92</v>
      </c>
      <c r="AK292" s="27">
        <f t="shared" si="28"/>
        <v>-4.0471476124690486E-3</v>
      </c>
    </row>
    <row r="293" spans="1:37" ht="22.5" x14ac:dyDescent="0.55000000000000004">
      <c r="A293" s="7" t="s">
        <v>898</v>
      </c>
      <c r="B293" s="25">
        <v>0.57291666666666663</v>
      </c>
      <c r="C293" s="7">
        <v>1520334.04</v>
      </c>
      <c r="D293" s="27">
        <f t="shared" si="26"/>
        <v>-8.5202094703443754E-3</v>
      </c>
      <c r="E293" s="7">
        <v>422659.93</v>
      </c>
      <c r="F293" s="27">
        <f t="shared" si="6"/>
        <v>8.6313981659702499E-4</v>
      </c>
      <c r="G293" s="9">
        <v>60194632.559</v>
      </c>
      <c r="H293" s="9">
        <v>38627.332000000002</v>
      </c>
      <c r="I293" s="24">
        <f t="shared" si="19"/>
        <v>38.627332000000003</v>
      </c>
      <c r="J293" s="24">
        <f t="shared" si="20"/>
        <v>40.2237598888889</v>
      </c>
      <c r="K293" s="11">
        <v>11425243.934</v>
      </c>
      <c r="L293" s="11">
        <v>3573089.1860000002</v>
      </c>
      <c r="M293" s="11">
        <v>38171.49</v>
      </c>
      <c r="N293" s="13">
        <v>42480</v>
      </c>
      <c r="O293" s="13">
        <f>155+134</f>
        <v>289</v>
      </c>
      <c r="P293" s="13">
        <f>235+161</f>
        <v>396</v>
      </c>
      <c r="Q293" s="13">
        <v>72</v>
      </c>
      <c r="R293" s="23">
        <v>3.06</v>
      </c>
      <c r="S293" s="13">
        <v>74</v>
      </c>
      <c r="T293" s="23">
        <v>1.28</v>
      </c>
      <c r="U293" s="15" t="s">
        <v>899</v>
      </c>
      <c r="V293" s="15" t="s">
        <v>900</v>
      </c>
      <c r="W293" s="20">
        <v>-3.05</v>
      </c>
      <c r="X293" s="20"/>
      <c r="Y293" s="20"/>
      <c r="Z293" s="20"/>
      <c r="AA293" s="16">
        <v>277280</v>
      </c>
      <c r="AB293" s="17">
        <f t="shared" si="22"/>
        <v>271.18063213718989</v>
      </c>
      <c r="AC293" s="27">
        <f t="shared" si="15"/>
        <v>1.1626311570707148E-3</v>
      </c>
      <c r="AD293" s="19">
        <v>21403</v>
      </c>
      <c r="AE293" s="28">
        <f t="shared" si="23"/>
        <v>5.944955944955943E-2</v>
      </c>
      <c r="AF293" s="16">
        <v>153490000</v>
      </c>
      <c r="AG293" s="30">
        <f t="shared" si="24"/>
        <v>-1.2735575995368897E-2</v>
      </c>
      <c r="AH293" s="16">
        <v>14254000</v>
      </c>
      <c r="AI293" s="29">
        <f t="shared" si="25"/>
        <v>-1.4655053228259329E-2</v>
      </c>
      <c r="AJ293" s="7">
        <f t="shared" si="28"/>
        <v>1520334.04</v>
      </c>
      <c r="AK293" s="27">
        <f t="shared" si="28"/>
        <v>-8.5202094703443754E-3</v>
      </c>
    </row>
    <row r="294" spans="1:37" ht="22.5" x14ac:dyDescent="0.55000000000000004">
      <c r="A294" s="7" t="s">
        <v>901</v>
      </c>
      <c r="B294" s="25">
        <v>0.58333333333333337</v>
      </c>
      <c r="C294" s="7">
        <v>1501346.52</v>
      </c>
      <c r="D294" s="27">
        <f t="shared" si="26"/>
        <v>-1.2489044841750729E-2</v>
      </c>
      <c r="E294" s="7">
        <v>417684.67</v>
      </c>
      <c r="F294" s="27">
        <f t="shared" si="6"/>
        <v>-1.1771307490634375E-2</v>
      </c>
      <c r="G294" s="9">
        <v>59315940.083999999</v>
      </c>
      <c r="H294" s="9">
        <v>36395.161999999997</v>
      </c>
      <c r="I294" s="24">
        <f t="shared" si="19"/>
        <v>36.395161999999999</v>
      </c>
      <c r="J294" s="24">
        <f t="shared" ref="J294:J393" si="29">AVERAGE(I286:I294)</f>
        <v>38.251009333333336</v>
      </c>
      <c r="K294" s="11">
        <v>11291282.213</v>
      </c>
      <c r="L294" s="11">
        <v>3510388.5380000002</v>
      </c>
      <c r="M294" s="11">
        <v>28859.603999999999</v>
      </c>
      <c r="N294" s="13">
        <v>37550</v>
      </c>
      <c r="O294" s="13">
        <f>82+101</f>
        <v>183</v>
      </c>
      <c r="P294" s="13">
        <f>183+315</f>
        <v>498</v>
      </c>
      <c r="Q294" s="13">
        <v>46</v>
      </c>
      <c r="R294" s="23">
        <v>2.14</v>
      </c>
      <c r="S294" s="13">
        <v>101</v>
      </c>
      <c r="T294" s="23">
        <v>1.7</v>
      </c>
      <c r="U294" s="15" t="s">
        <v>902</v>
      </c>
      <c r="V294" s="15" t="s">
        <v>903</v>
      </c>
      <c r="W294" s="20">
        <v>-5.71</v>
      </c>
      <c r="X294" s="20"/>
      <c r="Y294" s="20"/>
      <c r="Z294" s="20"/>
      <c r="AA294" s="16">
        <v>277380</v>
      </c>
      <c r="AB294" s="17">
        <f t="shared" si="22"/>
        <v>267.20603805249112</v>
      </c>
      <c r="AC294" s="27">
        <f t="shared" si="15"/>
        <v>3.6064627813048311E-4</v>
      </c>
      <c r="AD294" s="19">
        <v>21422</v>
      </c>
      <c r="AE294" s="28">
        <f t="shared" si="23"/>
        <v>8.8772601971687237E-4</v>
      </c>
      <c r="AF294" s="16">
        <v>147140000</v>
      </c>
      <c r="AG294" s="30">
        <f t="shared" si="24"/>
        <v>-4.1370773340282718E-2</v>
      </c>
      <c r="AH294" s="16">
        <v>13967000</v>
      </c>
      <c r="AI294" s="29">
        <f t="shared" si="25"/>
        <v>-2.0134699031850722E-2</v>
      </c>
      <c r="AJ294" s="7">
        <f t="shared" si="28"/>
        <v>1501346.52</v>
      </c>
      <c r="AK294" s="27">
        <f t="shared" si="28"/>
        <v>-1.2489044841750729E-2</v>
      </c>
    </row>
    <row r="295" spans="1:37" ht="22.5" x14ac:dyDescent="0.55000000000000004">
      <c r="A295" s="7" t="s">
        <v>904</v>
      </c>
      <c r="B295" s="25">
        <v>0.60625000000000007</v>
      </c>
      <c r="C295" s="7">
        <v>1504081.87</v>
      </c>
      <c r="D295" s="27">
        <f t="shared" si="26"/>
        <v>1.821931155506995E-3</v>
      </c>
      <c r="E295" s="7">
        <v>417295.38</v>
      </c>
      <c r="F295" s="27">
        <f t="shared" si="6"/>
        <v>-9.3201888400640254E-4</v>
      </c>
      <c r="G295" s="9">
        <v>59425525.946999997</v>
      </c>
      <c r="H295" s="9">
        <v>38937.786</v>
      </c>
      <c r="I295" s="24">
        <f t="shared" si="19"/>
        <v>38.937786000000003</v>
      </c>
      <c r="J295" s="24">
        <f t="shared" si="29"/>
        <v>37.595992888888894</v>
      </c>
      <c r="K295" s="11">
        <v>11332994.448999999</v>
      </c>
      <c r="L295" s="11">
        <v>3507171.0920000002</v>
      </c>
      <c r="M295" s="11">
        <v>1236786.7180000001</v>
      </c>
      <c r="N295" s="13">
        <v>39260</v>
      </c>
      <c r="O295" s="13">
        <f>193+185</f>
        <v>378</v>
      </c>
      <c r="P295" s="13">
        <f>178+189</f>
        <v>367</v>
      </c>
      <c r="Q295" s="13">
        <v>65</v>
      </c>
      <c r="R295" s="23">
        <v>2.2000000000000002</v>
      </c>
      <c r="S295" s="13">
        <v>72</v>
      </c>
      <c r="T295" s="23">
        <v>1.2</v>
      </c>
      <c r="U295" s="15" t="s">
        <v>905</v>
      </c>
      <c r="V295" s="15" t="s">
        <v>906</v>
      </c>
      <c r="W295" s="20">
        <v>-3.73</v>
      </c>
      <c r="X295" s="20"/>
      <c r="Y295" s="20"/>
      <c r="Z295" s="20"/>
      <c r="AA295" s="16">
        <v>277179</v>
      </c>
      <c r="AB295" s="17">
        <f t="shared" si="22"/>
        <v>267.93404799064859</v>
      </c>
      <c r="AC295" s="27">
        <f t="shared" si="15"/>
        <v>-7.246376811593791E-4</v>
      </c>
      <c r="AD295" s="19">
        <v>21437</v>
      </c>
      <c r="AE295" s="28">
        <f t="shared" si="23"/>
        <v>7.00214732517912E-4</v>
      </c>
      <c r="AF295" s="16">
        <v>142220000</v>
      </c>
      <c r="AG295" s="30">
        <f t="shared" si="24"/>
        <v>-3.3437542476552951E-2</v>
      </c>
      <c r="AH295" s="16">
        <v>13614000</v>
      </c>
      <c r="AI295" s="29">
        <f t="shared" si="25"/>
        <v>-2.5273859812414923E-2</v>
      </c>
      <c r="AJ295" s="7">
        <f t="shared" si="28"/>
        <v>1504081.87</v>
      </c>
      <c r="AK295" s="27">
        <f t="shared" si="28"/>
        <v>1.821931155506995E-3</v>
      </c>
    </row>
    <row r="296" spans="1:37" ht="22.5" x14ac:dyDescent="0.55000000000000004">
      <c r="A296" s="7" t="s">
        <v>907</v>
      </c>
      <c r="B296" s="25">
        <v>0.64583333333333337</v>
      </c>
      <c r="C296" s="7">
        <v>1514425</v>
      </c>
      <c r="D296" s="27">
        <f t="shared" si="26"/>
        <v>6.8767067845847407E-3</v>
      </c>
      <c r="E296" s="7">
        <v>421092.23</v>
      </c>
      <c r="F296" s="27">
        <f t="shared" si="6"/>
        <v>9.0987108460198751E-3</v>
      </c>
      <c r="G296" s="9">
        <v>59830004.877999999</v>
      </c>
      <c r="H296" s="9">
        <v>46534.417999999998</v>
      </c>
      <c r="I296" s="24">
        <f t="shared" si="19"/>
        <v>46.534417999999995</v>
      </c>
      <c r="J296" s="24">
        <f t="shared" si="29"/>
        <v>39.179306888888895</v>
      </c>
      <c r="K296" s="11">
        <v>11381716.831</v>
      </c>
      <c r="L296" s="11">
        <v>3513348.7579999999</v>
      </c>
      <c r="M296" s="11">
        <v>58719.159</v>
      </c>
      <c r="N296" s="13">
        <v>36130</v>
      </c>
      <c r="O296" s="13">
        <f>267+167</f>
        <v>434</v>
      </c>
      <c r="P296" s="13">
        <f>110+117</f>
        <v>227</v>
      </c>
      <c r="Q296" s="13">
        <v>81</v>
      </c>
      <c r="R296" s="23">
        <v>2.2999999999999998</v>
      </c>
      <c r="S296" s="13">
        <v>38</v>
      </c>
      <c r="T296" s="23">
        <v>0.6</v>
      </c>
      <c r="U296" s="15" t="s">
        <v>908</v>
      </c>
      <c r="V296" s="15" t="s">
        <v>909</v>
      </c>
      <c r="W296" s="20">
        <v>-2.9</v>
      </c>
      <c r="X296" s="20"/>
      <c r="Y296" s="20"/>
      <c r="Z296" s="20"/>
      <c r="AA296" s="16">
        <v>277129</v>
      </c>
      <c r="AB296" s="17">
        <f t="shared" si="22"/>
        <v>269.64002492341109</v>
      </c>
      <c r="AC296" s="27">
        <f t="shared" si="15"/>
        <v>-1.8038884619686613E-4</v>
      </c>
      <c r="AD296" s="19">
        <v>21020</v>
      </c>
      <c r="AE296" s="28">
        <f t="shared" si="23"/>
        <v>-1.9452348742827863E-2</v>
      </c>
      <c r="AF296" s="16">
        <v>144120000</v>
      </c>
      <c r="AG296" s="30">
        <f t="shared" si="24"/>
        <v>1.3359583743495884E-2</v>
      </c>
      <c r="AH296" s="16">
        <v>13679000</v>
      </c>
      <c r="AI296" s="29">
        <f t="shared" si="25"/>
        <v>4.7744968414866751E-3</v>
      </c>
      <c r="AJ296" s="7">
        <f t="shared" si="28"/>
        <v>1514425</v>
      </c>
      <c r="AK296" s="27">
        <f t="shared" si="28"/>
        <v>6.8767067845847407E-3</v>
      </c>
    </row>
    <row r="297" spans="1:37" ht="22.5" x14ac:dyDescent="0.55000000000000004">
      <c r="A297" s="7" t="s">
        <v>910</v>
      </c>
      <c r="B297" s="25">
        <v>0.60069444444444442</v>
      </c>
      <c r="C297" s="7">
        <v>1513721.56</v>
      </c>
      <c r="D297" s="27">
        <f t="shared" si="26"/>
        <v>-4.6449312445318025E-4</v>
      </c>
      <c r="E297" s="7">
        <v>421481.39</v>
      </c>
      <c r="F297" s="27">
        <f t="shared" si="6"/>
        <v>9.2416808545725537E-4</v>
      </c>
      <c r="G297" s="9">
        <v>59791317.252999999</v>
      </c>
      <c r="H297" s="9">
        <v>36060.688999999998</v>
      </c>
      <c r="I297" s="24">
        <f t="shared" si="19"/>
        <v>36.060688999999996</v>
      </c>
      <c r="J297" s="24">
        <f t="shared" si="29"/>
        <v>38.650591999999996</v>
      </c>
      <c r="K297" s="11">
        <v>11365924.948999999</v>
      </c>
      <c r="L297" s="11">
        <v>3513332.4759999998</v>
      </c>
      <c r="M297" s="11">
        <v>38736.71</v>
      </c>
      <c r="N297" s="13">
        <v>35880</v>
      </c>
      <c r="O297" s="13">
        <f>210+136</f>
        <v>346</v>
      </c>
      <c r="P297" s="13">
        <f>149+170</f>
        <v>319</v>
      </c>
      <c r="Q297" s="13">
        <v>71</v>
      </c>
      <c r="R297" s="23">
        <v>2.2000000000000002</v>
      </c>
      <c r="S297" s="13">
        <v>51</v>
      </c>
      <c r="T297" s="23">
        <v>0.88</v>
      </c>
      <c r="U297" s="15" t="s">
        <v>911</v>
      </c>
      <c r="V297" s="15" t="s">
        <v>912</v>
      </c>
      <c r="W297" s="20">
        <v>-4.57</v>
      </c>
      <c r="X297" s="20"/>
      <c r="Y297" s="20"/>
      <c r="Z297" s="20"/>
      <c r="AA297" s="16">
        <v>277079</v>
      </c>
      <c r="AB297" s="17">
        <f t="shared" ref="AB297:AB397" si="30">(L297+K297+G297)/AA297</f>
        <v>269.49200292335399</v>
      </c>
      <c r="AC297" s="27">
        <f t="shared" si="15"/>
        <v>-1.8042139220364461E-4</v>
      </c>
      <c r="AD297" s="19">
        <v>20116</v>
      </c>
      <c r="AE297" s="28">
        <f t="shared" si="23"/>
        <v>-4.3006660323501422E-2</v>
      </c>
      <c r="AF297" s="16">
        <v>145280000</v>
      </c>
      <c r="AG297" s="30">
        <f t="shared" si="24"/>
        <v>8.0488481820704116E-3</v>
      </c>
      <c r="AH297" s="16">
        <v>13732000</v>
      </c>
      <c r="AI297" s="29">
        <f t="shared" si="25"/>
        <v>3.8745522333503146E-3</v>
      </c>
      <c r="AJ297" s="7">
        <f t="shared" si="28"/>
        <v>1513721.56</v>
      </c>
      <c r="AK297" s="27">
        <f t="shared" si="28"/>
        <v>-4.6449312445318025E-4</v>
      </c>
    </row>
    <row r="298" spans="1:37" ht="22.5" x14ac:dyDescent="0.55000000000000004">
      <c r="A298" s="7" t="s">
        <v>913</v>
      </c>
      <c r="B298" s="25">
        <v>0.58333333333333337</v>
      </c>
      <c r="C298" s="7">
        <v>1501631.65</v>
      </c>
      <c r="D298" s="27">
        <f t="shared" si="26"/>
        <v>-7.9868783794029286E-3</v>
      </c>
      <c r="E298" s="7">
        <v>417202.89</v>
      </c>
      <c r="F298" s="27">
        <f t="shared" si="6"/>
        <v>-1.0151100621548226E-2</v>
      </c>
      <c r="G298" s="9">
        <v>59319327.298</v>
      </c>
      <c r="H298" s="9">
        <v>35270.127</v>
      </c>
      <c r="I298" s="24">
        <f t="shared" si="19"/>
        <v>35.270127000000002</v>
      </c>
      <c r="J298" s="24">
        <f t="shared" si="29"/>
        <v>38.508491555555551</v>
      </c>
      <c r="K298" s="11">
        <v>11252174.687000001</v>
      </c>
      <c r="L298" s="11">
        <v>3503100.2349999999</v>
      </c>
      <c r="M298" s="11">
        <v>29065.355</v>
      </c>
      <c r="N298" s="13">
        <v>34490</v>
      </c>
      <c r="O298" s="13">
        <f>102+109</f>
        <v>211</v>
      </c>
      <c r="P298" s="13">
        <f>174+282</f>
        <v>456</v>
      </c>
      <c r="Q298" s="13">
        <v>61</v>
      </c>
      <c r="R298" s="23">
        <v>1.8</v>
      </c>
      <c r="S298" s="13">
        <v>91</v>
      </c>
      <c r="T298" s="23">
        <v>1.3</v>
      </c>
      <c r="U298" s="15" t="s">
        <v>914</v>
      </c>
      <c r="V298" s="15" t="s">
        <v>915</v>
      </c>
      <c r="W298" s="20">
        <v>-6.25</v>
      </c>
      <c r="X298" s="20"/>
      <c r="Y298" s="20"/>
      <c r="Z298" s="20"/>
      <c r="AA298" s="16">
        <v>277340</v>
      </c>
      <c r="AB298" s="17">
        <f t="shared" si="30"/>
        <v>267.08950104564792</v>
      </c>
      <c r="AC298" s="27">
        <f t="shared" si="15"/>
        <v>9.4196961877290875E-4</v>
      </c>
      <c r="AD298" s="19">
        <v>19090</v>
      </c>
      <c r="AE298" s="28">
        <f t="shared" si="23"/>
        <v>-5.1004175780473227E-2</v>
      </c>
      <c r="AF298" s="16">
        <v>156750000</v>
      </c>
      <c r="AG298" s="30">
        <f t="shared" si="24"/>
        <v>7.8950991189427278E-2</v>
      </c>
      <c r="AH298" s="16">
        <v>14494000</v>
      </c>
      <c r="AI298" s="29">
        <f t="shared" si="25"/>
        <v>5.5490824351878798E-2</v>
      </c>
      <c r="AJ298" s="7">
        <f t="shared" si="28"/>
        <v>1501631.65</v>
      </c>
      <c r="AK298" s="27">
        <f t="shared" si="28"/>
        <v>-7.9868783794029286E-3</v>
      </c>
    </row>
    <row r="299" spans="1:37" ht="22.5" x14ac:dyDescent="0.55000000000000004">
      <c r="A299" s="7" t="s">
        <v>916</v>
      </c>
      <c r="B299" s="25">
        <v>0.625</v>
      </c>
      <c r="C299" s="7">
        <v>1502979.38</v>
      </c>
      <c r="D299" s="27">
        <f t="shared" si="26"/>
        <v>8.9751038478702583E-4</v>
      </c>
      <c r="E299" s="7">
        <v>418362.43</v>
      </c>
      <c r="F299" s="27">
        <f t="shared" si="6"/>
        <v>2.7793191940737039E-3</v>
      </c>
      <c r="G299" s="9">
        <v>59281699.055</v>
      </c>
      <c r="H299" s="9">
        <v>28612</v>
      </c>
      <c r="I299" s="24">
        <f t="shared" si="19"/>
        <v>28.611999999999998</v>
      </c>
      <c r="J299" s="24">
        <f t="shared" si="29"/>
        <v>37.480711888888891</v>
      </c>
      <c r="K299" s="11">
        <v>11243495.488</v>
      </c>
      <c r="L299" s="11">
        <v>3501934.821</v>
      </c>
      <c r="M299" s="11">
        <v>28623.177</v>
      </c>
      <c r="N299" s="13">
        <v>32350</v>
      </c>
      <c r="O299" s="13">
        <f>245+166</f>
        <v>411</v>
      </c>
      <c r="P299" s="13">
        <f>111+140</f>
        <v>251</v>
      </c>
      <c r="Q299" s="13">
        <v>88</v>
      </c>
      <c r="R299" s="23">
        <v>2.1</v>
      </c>
      <c r="S299" s="13">
        <v>42</v>
      </c>
      <c r="T299" s="23">
        <v>0.85</v>
      </c>
      <c r="U299" s="15" t="s">
        <v>917</v>
      </c>
      <c r="V299" s="15" t="s">
        <v>918</v>
      </c>
      <c r="W299" s="20">
        <v>-2.39</v>
      </c>
      <c r="X299" s="20"/>
      <c r="Y299" s="20"/>
      <c r="Z299" s="20"/>
      <c r="AA299" s="16">
        <v>277531</v>
      </c>
      <c r="AB299" s="17">
        <f t="shared" si="30"/>
        <v>266.73463275814231</v>
      </c>
      <c r="AC299" s="27">
        <f t="shared" si="15"/>
        <v>6.8868536814026271E-4</v>
      </c>
      <c r="AD299" s="19">
        <v>19079</v>
      </c>
      <c r="AE299" s="28">
        <f t="shared" si="23"/>
        <v>-5.7621791513884357E-4</v>
      </c>
      <c r="AF299" s="16">
        <v>153590000</v>
      </c>
      <c r="AG299" s="30">
        <f t="shared" si="24"/>
        <v>-2.0159489633173822E-2</v>
      </c>
      <c r="AH299" s="16">
        <v>14258000</v>
      </c>
      <c r="AI299" s="29">
        <f t="shared" si="25"/>
        <v>-1.6282599696426092E-2</v>
      </c>
      <c r="AJ299" s="7">
        <f t="shared" si="28"/>
        <v>1502979.38</v>
      </c>
      <c r="AK299" s="27">
        <f t="shared" si="28"/>
        <v>8.9751038478702583E-4</v>
      </c>
    </row>
    <row r="300" spans="1:37" ht="22.5" x14ac:dyDescent="0.55000000000000004">
      <c r="A300" s="7" t="s">
        <v>919</v>
      </c>
      <c r="B300" s="25">
        <v>0.59722222222222221</v>
      </c>
      <c r="C300" s="7">
        <v>1507156.51</v>
      </c>
      <c r="D300" s="27">
        <f t="shared" si="26"/>
        <v>2.7792330723792613E-3</v>
      </c>
      <c r="E300" s="7">
        <v>420654.85</v>
      </c>
      <c r="F300" s="27">
        <f t="shared" si="6"/>
        <v>5.4795073257414284E-3</v>
      </c>
      <c r="G300" s="9">
        <v>59396092.585000001</v>
      </c>
      <c r="H300" s="9">
        <v>30214.302</v>
      </c>
      <c r="I300" s="24">
        <f t="shared" si="19"/>
        <v>30.214302</v>
      </c>
      <c r="J300" s="24">
        <f t="shared" si="29"/>
        <v>37.028360333333332</v>
      </c>
      <c r="K300" s="11">
        <v>11269545.645</v>
      </c>
      <c r="L300" s="11">
        <v>3510702.8930000002</v>
      </c>
      <c r="M300" s="11">
        <v>559045.88600000006</v>
      </c>
      <c r="N300" s="13">
        <v>32170</v>
      </c>
      <c r="O300" s="13">
        <f>228+170</f>
        <v>398</v>
      </c>
      <c r="P300" s="13">
        <f>162+169</f>
        <v>331</v>
      </c>
      <c r="Q300" s="13">
        <v>96</v>
      </c>
      <c r="R300" s="23">
        <v>2.41</v>
      </c>
      <c r="S300" s="13">
        <v>38</v>
      </c>
      <c r="T300" s="23">
        <v>0.6</v>
      </c>
      <c r="U300" s="15" t="s">
        <v>920</v>
      </c>
      <c r="V300" s="15" t="s">
        <v>921</v>
      </c>
      <c r="W300" s="20">
        <v>-2.85</v>
      </c>
      <c r="X300" s="20"/>
      <c r="Y300" s="20"/>
      <c r="Z300" s="20"/>
      <c r="AA300" s="16">
        <v>277762</v>
      </c>
      <c r="AB300" s="17">
        <f t="shared" si="30"/>
        <v>267.04999648260019</v>
      </c>
      <c r="AC300" s="27">
        <f t="shared" si="15"/>
        <v>8.3233945036775836E-4</v>
      </c>
      <c r="AD300" s="19">
        <v>19182</v>
      </c>
      <c r="AE300" s="28">
        <f t="shared" si="23"/>
        <v>5.3986057969495072E-3</v>
      </c>
      <c r="AF300" s="16">
        <v>149480000</v>
      </c>
      <c r="AG300" s="30">
        <f t="shared" si="24"/>
        <v>-2.6759554658506435E-2</v>
      </c>
      <c r="AH300" s="16">
        <v>14007000</v>
      </c>
      <c r="AI300" s="29">
        <f t="shared" si="25"/>
        <v>-1.7604152054986666E-2</v>
      </c>
      <c r="AJ300" s="7">
        <f t="shared" si="28"/>
        <v>1507156.51</v>
      </c>
      <c r="AK300" s="27">
        <f t="shared" si="28"/>
        <v>2.7792330723792613E-3</v>
      </c>
    </row>
    <row r="301" spans="1:37" ht="22.5" x14ac:dyDescent="0.55000000000000004">
      <c r="A301" s="7" t="s">
        <v>922</v>
      </c>
      <c r="B301" s="25">
        <v>0.625</v>
      </c>
      <c r="C301" s="7">
        <v>1511069.97</v>
      </c>
      <c r="D301" s="27">
        <f t="shared" si="26"/>
        <v>2.596585008945107E-3</v>
      </c>
      <c r="E301" s="7">
        <v>420975.73</v>
      </c>
      <c r="F301" s="27">
        <f t="shared" si="6"/>
        <v>7.6281065105998636E-4</v>
      </c>
      <c r="G301" s="9">
        <v>59548268.575000003</v>
      </c>
      <c r="H301" s="9">
        <v>37696.953000000001</v>
      </c>
      <c r="I301" s="24">
        <f t="shared" si="19"/>
        <v>37.696953000000001</v>
      </c>
      <c r="J301" s="24">
        <f t="shared" si="29"/>
        <v>36.483196555555558</v>
      </c>
      <c r="K301" s="11">
        <v>11255445.880999999</v>
      </c>
      <c r="L301" s="11">
        <v>3523542.48</v>
      </c>
      <c r="M301" s="11">
        <v>133674.234</v>
      </c>
      <c r="N301" s="13">
        <v>36950</v>
      </c>
      <c r="O301" s="13">
        <f>188+141</f>
        <v>329</v>
      </c>
      <c r="P301" s="13">
        <f>212+144</f>
        <v>356</v>
      </c>
      <c r="Q301" s="13">
        <v>85</v>
      </c>
      <c r="R301" s="23">
        <v>2.6</v>
      </c>
      <c r="S301" s="13">
        <v>44</v>
      </c>
      <c r="T301" s="23">
        <v>0.89100000000000001</v>
      </c>
      <c r="U301" s="15" t="s">
        <v>923</v>
      </c>
      <c r="V301" s="15" t="s">
        <v>924</v>
      </c>
      <c r="W301" s="20">
        <v>-2.59</v>
      </c>
      <c r="X301" s="20"/>
      <c r="Y301" s="20"/>
      <c r="Z301" s="20"/>
      <c r="AA301" s="16">
        <v>278023</v>
      </c>
      <c r="AB301" s="17">
        <f t="shared" si="30"/>
        <v>267.34211535016891</v>
      </c>
      <c r="AC301" s="27">
        <f t="shared" si="15"/>
        <v>9.3965337231161072E-4</v>
      </c>
      <c r="AD301" s="19">
        <v>19746</v>
      </c>
      <c r="AE301" s="28">
        <f t="shared" ref="AE301:AE367" si="31">(AD301/AD300)-1</f>
        <v>2.9402564904598139E-2</v>
      </c>
      <c r="AF301" s="16">
        <v>149950000</v>
      </c>
      <c r="AG301" s="30">
        <f t="shared" si="24"/>
        <v>3.144233342253111E-3</v>
      </c>
      <c r="AH301" s="16">
        <v>14030000</v>
      </c>
      <c r="AI301" s="29">
        <f t="shared" ref="AI301:AI364" si="32">(AH301/AH300)-1</f>
        <v>1.6420361247948545E-3</v>
      </c>
      <c r="AJ301" s="7">
        <f t="shared" si="28"/>
        <v>1511069.97</v>
      </c>
      <c r="AK301" s="27">
        <f t="shared" si="28"/>
        <v>2.596585008945107E-3</v>
      </c>
    </row>
    <row r="302" spans="1:37" ht="22.5" x14ac:dyDescent="0.55000000000000004">
      <c r="A302" s="7" t="s">
        <v>925</v>
      </c>
      <c r="B302" s="25">
        <v>0.61111111111111105</v>
      </c>
      <c r="C302" s="7">
        <v>1502598.11</v>
      </c>
      <c r="D302" s="27">
        <f t="shared" si="26"/>
        <v>-5.606530583093905E-3</v>
      </c>
      <c r="E302" s="7">
        <v>418518.39</v>
      </c>
      <c r="F302" s="27">
        <f t="shared" si="6"/>
        <v>-5.837248622384883E-3</v>
      </c>
      <c r="G302" s="9">
        <v>59204252.244999997</v>
      </c>
      <c r="H302" s="9">
        <v>30249.058000000001</v>
      </c>
      <c r="I302" s="24">
        <f t="shared" si="19"/>
        <v>30.249058000000002</v>
      </c>
      <c r="J302" s="24">
        <f t="shared" si="29"/>
        <v>35.552277222222216</v>
      </c>
      <c r="K302" s="11">
        <v>11218418.74</v>
      </c>
      <c r="L302" s="11">
        <v>3526619.2560000001</v>
      </c>
      <c r="M302" s="11">
        <v>162490.9</v>
      </c>
      <c r="N302" s="13">
        <v>33280</v>
      </c>
      <c r="O302" s="13">
        <f>114+89</f>
        <v>203</v>
      </c>
      <c r="P302" s="13">
        <f>183+266</f>
        <v>449</v>
      </c>
      <c r="Q302" s="13">
        <v>43</v>
      </c>
      <c r="R302" s="23">
        <v>1.2</v>
      </c>
      <c r="S302" s="13">
        <v>63</v>
      </c>
      <c r="T302" s="23">
        <v>1.4</v>
      </c>
      <c r="U302" s="15" t="s">
        <v>926</v>
      </c>
      <c r="V302" s="15" t="s">
        <v>927</v>
      </c>
      <c r="W302" s="20">
        <v>-3.88</v>
      </c>
      <c r="X302" s="20"/>
      <c r="Y302" s="20"/>
      <c r="Z302" s="20"/>
      <c r="AA302" s="16">
        <v>278282</v>
      </c>
      <c r="AB302" s="17">
        <f t="shared" si="30"/>
        <v>265.73508254576291</v>
      </c>
      <c r="AC302" s="27">
        <f t="shared" si="15"/>
        <v>9.3157760329187767E-4</v>
      </c>
      <c r="AD302" s="19">
        <v>20171</v>
      </c>
      <c r="AE302" s="28">
        <f t="shared" si="31"/>
        <v>2.1523346500557095E-2</v>
      </c>
      <c r="AF302" s="16">
        <v>150280000</v>
      </c>
      <c r="AG302" s="30">
        <f t="shared" si="24"/>
        <v>2.2007335778593262E-3</v>
      </c>
      <c r="AH302" s="16">
        <v>13854000</v>
      </c>
      <c r="AI302" s="29">
        <f t="shared" si="32"/>
        <v>-1.2544547398431916E-2</v>
      </c>
      <c r="AJ302" s="7">
        <f t="shared" si="28"/>
        <v>1502598.11</v>
      </c>
      <c r="AK302" s="27">
        <f t="shared" si="28"/>
        <v>-5.606530583093905E-3</v>
      </c>
    </row>
    <row r="303" spans="1:37" ht="22.5" x14ac:dyDescent="0.55000000000000004">
      <c r="A303" s="7" t="s">
        <v>928</v>
      </c>
      <c r="B303" s="25">
        <v>0.60416666666666663</v>
      </c>
      <c r="C303" s="7">
        <v>1498508.89</v>
      </c>
      <c r="D303" s="27">
        <f t="shared" si="26"/>
        <v>-2.7214329452338593E-3</v>
      </c>
      <c r="E303" s="7">
        <v>415830.19</v>
      </c>
      <c r="F303" s="27">
        <f t="shared" si="6"/>
        <v>-6.4231347157768237E-3</v>
      </c>
      <c r="G303" s="9">
        <v>59051546.784999996</v>
      </c>
      <c r="H303" s="9">
        <v>28998.598999999998</v>
      </c>
      <c r="I303" s="24">
        <f t="shared" si="19"/>
        <v>28.998598999999999</v>
      </c>
      <c r="J303" s="24">
        <f t="shared" si="29"/>
        <v>34.730436888888889</v>
      </c>
      <c r="K303" s="11">
        <v>11151454.463</v>
      </c>
      <c r="L303" s="11">
        <v>3522330.4780000001</v>
      </c>
      <c r="M303" s="11">
        <v>138055.261</v>
      </c>
      <c r="N303" s="13">
        <v>28980</v>
      </c>
      <c r="O303" s="13">
        <f>104+112</f>
        <v>216</v>
      </c>
      <c r="P303" s="13">
        <f>264+154</f>
        <v>418</v>
      </c>
      <c r="Q303" s="13">
        <v>46</v>
      </c>
      <c r="R303" s="23">
        <v>1.02</v>
      </c>
      <c r="S303" s="13">
        <v>88</v>
      </c>
      <c r="T303" s="23">
        <v>1.2</v>
      </c>
      <c r="U303" s="15" t="s">
        <v>929</v>
      </c>
      <c r="V303" s="15" t="s">
        <v>930</v>
      </c>
      <c r="W303" s="20">
        <v>-3.78</v>
      </c>
      <c r="X303" s="20"/>
      <c r="Y303" s="20"/>
      <c r="Z303" s="20"/>
      <c r="AA303" s="16">
        <v>278827</v>
      </c>
      <c r="AB303" s="17">
        <f t="shared" si="30"/>
        <v>264.4124554867355</v>
      </c>
      <c r="AC303" s="27">
        <f t="shared" si="15"/>
        <v>1.9584450305805134E-3</v>
      </c>
      <c r="AD303" s="19">
        <v>21622</v>
      </c>
      <c r="AE303" s="28">
        <f t="shared" si="31"/>
        <v>7.1934956125130123E-2</v>
      </c>
      <c r="AF303" s="16">
        <v>151590000</v>
      </c>
      <c r="AG303" s="30">
        <f t="shared" si="24"/>
        <v>8.7170614852276618E-3</v>
      </c>
      <c r="AH303" s="16">
        <v>13838000</v>
      </c>
      <c r="AI303" s="29">
        <f t="shared" si="32"/>
        <v>-1.1549011115923324E-3</v>
      </c>
      <c r="AJ303" s="7">
        <f t="shared" si="28"/>
        <v>1498508.89</v>
      </c>
      <c r="AK303" s="27">
        <f t="shared" si="28"/>
        <v>-2.7214329452338593E-3</v>
      </c>
    </row>
    <row r="304" spans="1:37" ht="22.5" x14ac:dyDescent="0.55000000000000004">
      <c r="A304" s="7" t="s">
        <v>931</v>
      </c>
      <c r="B304" s="25">
        <v>0.61458333333333337</v>
      </c>
      <c r="C304" s="7">
        <v>1487621.88</v>
      </c>
      <c r="D304" s="27">
        <f t="shared" si="26"/>
        <v>-7.2652288369140505E-3</v>
      </c>
      <c r="E304" s="7">
        <v>409558.68</v>
      </c>
      <c r="F304" s="27">
        <f t="shared" si="6"/>
        <v>-1.5081901581027624E-2</v>
      </c>
      <c r="G304" s="9">
        <v>58322367.557999998</v>
      </c>
      <c r="H304" s="9">
        <v>34269.550999999999</v>
      </c>
      <c r="I304" s="24">
        <f t="shared" si="19"/>
        <v>34.269551</v>
      </c>
      <c r="J304" s="24">
        <f t="shared" si="29"/>
        <v>34.211744111111109</v>
      </c>
      <c r="K304" s="11">
        <v>11034544.995999999</v>
      </c>
      <c r="L304" s="11">
        <v>3515484.7769999998</v>
      </c>
      <c r="M304" s="11">
        <v>1293585.949</v>
      </c>
      <c r="N304" s="13">
        <v>34350</v>
      </c>
      <c r="O304" s="13">
        <f>60+109</f>
        <v>169</v>
      </c>
      <c r="P304" s="13">
        <f>219+324</f>
        <v>543</v>
      </c>
      <c r="Q304" s="13">
        <v>29</v>
      </c>
      <c r="R304" s="23">
        <v>0.58699999999999997</v>
      </c>
      <c r="S304" s="13">
        <v>174</v>
      </c>
      <c r="T304" s="23">
        <v>2.2999999999999998</v>
      </c>
      <c r="U304" s="15" t="s">
        <v>932</v>
      </c>
      <c r="V304" s="15" t="s">
        <v>933</v>
      </c>
      <c r="W304" s="20">
        <v>-8.01</v>
      </c>
      <c r="X304" s="20"/>
      <c r="Y304" s="20"/>
      <c r="Z304" s="20"/>
      <c r="AA304" s="16">
        <v>279099</v>
      </c>
      <c r="AB304" s="17">
        <f t="shared" si="30"/>
        <v>261.09874034303238</v>
      </c>
      <c r="AC304" s="27">
        <f t="shared" si="15"/>
        <v>9.7551528367056939E-4</v>
      </c>
      <c r="AD304" s="19">
        <v>20587</v>
      </c>
      <c r="AE304" s="28">
        <f t="shared" si="31"/>
        <v>-4.7867912311534533E-2</v>
      </c>
      <c r="AF304" s="16">
        <v>152760000</v>
      </c>
      <c r="AG304" s="30">
        <f t="shared" si="24"/>
        <v>7.7181872155154263E-3</v>
      </c>
      <c r="AH304" s="16">
        <v>13979000</v>
      </c>
      <c r="AI304" s="29">
        <f t="shared" si="32"/>
        <v>1.018933371874553E-2</v>
      </c>
      <c r="AJ304" s="7">
        <f t="shared" si="28"/>
        <v>1487621.88</v>
      </c>
      <c r="AK304" s="27">
        <f t="shared" si="28"/>
        <v>-7.2652288369140505E-3</v>
      </c>
    </row>
    <row r="305" spans="1:37" ht="22.5" x14ac:dyDescent="0.55000000000000004">
      <c r="A305" s="7" t="s">
        <v>934</v>
      </c>
      <c r="B305" s="25">
        <v>0.66666666666666663</v>
      </c>
      <c r="C305" s="7">
        <v>1483532.64</v>
      </c>
      <c r="D305" s="27">
        <f t="shared" si="26"/>
        <v>-2.7488436779378178E-3</v>
      </c>
      <c r="E305" s="7">
        <v>405475.12</v>
      </c>
      <c r="F305" s="27">
        <f t="shared" si="6"/>
        <v>-9.9706347329764355E-3</v>
      </c>
      <c r="G305" s="9">
        <v>57579950.262999997</v>
      </c>
      <c r="H305" s="9">
        <v>27669.016</v>
      </c>
      <c r="I305" s="24">
        <f t="shared" si="19"/>
        <v>27.669015999999999</v>
      </c>
      <c r="J305" s="24">
        <f t="shared" si="29"/>
        <v>32.115588333333328</v>
      </c>
      <c r="K305" s="11">
        <v>10944683.806</v>
      </c>
      <c r="L305" s="11">
        <v>3503419.9929999998</v>
      </c>
      <c r="M305" s="11">
        <v>180784.94500000001</v>
      </c>
      <c r="N305" s="13">
        <v>28210</v>
      </c>
      <c r="O305" s="13">
        <v>209</v>
      </c>
      <c r="P305" s="13">
        <v>432</v>
      </c>
      <c r="Q305" s="13">
        <v>42</v>
      </c>
      <c r="R305" s="23">
        <v>1</v>
      </c>
      <c r="S305" s="13">
        <v>91</v>
      </c>
      <c r="T305" s="23">
        <v>1.6</v>
      </c>
      <c r="U305" s="15" t="s">
        <v>935</v>
      </c>
      <c r="V305" s="15" t="s">
        <v>936</v>
      </c>
      <c r="W305" s="20">
        <v>-4.59</v>
      </c>
      <c r="X305" s="20"/>
      <c r="Y305" s="20"/>
      <c r="Z305" s="20"/>
      <c r="AA305" s="16">
        <v>279199</v>
      </c>
      <c r="AB305" s="17">
        <f t="shared" si="30"/>
        <v>257.98106032614726</v>
      </c>
      <c r="AC305" s="27">
        <f t="shared" si="15"/>
        <v>3.5829580184798537E-4</v>
      </c>
      <c r="AD305" s="19">
        <v>19756</v>
      </c>
      <c r="AE305" s="28">
        <f t="shared" si="31"/>
        <v>-4.0365279059600745E-2</v>
      </c>
      <c r="AF305" s="16">
        <v>149970000</v>
      </c>
      <c r="AG305" s="30">
        <f t="shared" si="24"/>
        <v>-1.8263943440691266E-2</v>
      </c>
      <c r="AH305" s="16">
        <v>13827000</v>
      </c>
      <c r="AI305" s="29">
        <f t="shared" si="32"/>
        <v>-1.0873453036697955E-2</v>
      </c>
      <c r="AJ305" s="7">
        <f t="shared" si="28"/>
        <v>1483532.64</v>
      </c>
      <c r="AK305" s="27">
        <f t="shared" si="28"/>
        <v>-2.7488436779378178E-3</v>
      </c>
    </row>
    <row r="306" spans="1:37" ht="22.5" x14ac:dyDescent="0.55000000000000004">
      <c r="A306" s="7" t="s">
        <v>937</v>
      </c>
      <c r="B306" s="25">
        <v>0.55208333333333337</v>
      </c>
      <c r="C306" s="7">
        <v>1490052.75</v>
      </c>
      <c r="D306" s="27">
        <f t="shared" si="26"/>
        <v>4.3949892467483043E-3</v>
      </c>
      <c r="E306" s="7">
        <v>407012.43</v>
      </c>
      <c r="F306" s="27">
        <f t="shared" si="6"/>
        <v>3.7913793576287436E-3</v>
      </c>
      <c r="G306" s="9">
        <v>57694311.669</v>
      </c>
      <c r="H306" s="9">
        <v>29190.249</v>
      </c>
      <c r="I306" s="24">
        <f t="shared" si="19"/>
        <v>29.190249000000001</v>
      </c>
      <c r="J306" s="24">
        <f t="shared" si="29"/>
        <v>31.352206111111116</v>
      </c>
      <c r="K306" s="11">
        <v>11000621.653000001</v>
      </c>
      <c r="L306" s="11">
        <v>3513298.5359999998</v>
      </c>
      <c r="M306" s="11">
        <v>164652.255</v>
      </c>
      <c r="N306" s="13">
        <v>27540</v>
      </c>
      <c r="O306" s="13">
        <f>217+159</f>
        <v>376</v>
      </c>
      <c r="P306" s="13">
        <f>157+112</f>
        <v>269</v>
      </c>
      <c r="Q306" s="13">
        <v>56</v>
      </c>
      <c r="R306" s="23">
        <v>1.6</v>
      </c>
      <c r="S306" s="13">
        <v>55</v>
      </c>
      <c r="T306" s="23">
        <v>0.94</v>
      </c>
      <c r="U306" s="15" t="s">
        <v>938</v>
      </c>
      <c r="V306" s="15" t="s">
        <v>939</v>
      </c>
      <c r="W306" s="20">
        <v>-2.23</v>
      </c>
      <c r="X306" s="20"/>
      <c r="Y306" s="20"/>
      <c r="Z306" s="20"/>
      <c r="AA306" s="16">
        <v>278938</v>
      </c>
      <c r="AB306" s="17">
        <f t="shared" si="30"/>
        <v>258.86839318414843</v>
      </c>
      <c r="AC306" s="27">
        <f t="shared" si="15"/>
        <v>-9.3481710178044963E-4</v>
      </c>
      <c r="AD306" s="19">
        <v>19855</v>
      </c>
      <c r="AE306" s="28">
        <f t="shared" si="31"/>
        <v>5.0111358574609355E-3</v>
      </c>
      <c r="AF306" s="16">
        <v>150590000</v>
      </c>
      <c r="AG306" s="30">
        <f t="shared" ref="AG306:AG397" si="33">(AF306/AF305)-1</f>
        <v>4.1341601653663851E-3</v>
      </c>
      <c r="AH306" s="16">
        <v>13801000</v>
      </c>
      <c r="AI306" s="29">
        <f t="shared" si="32"/>
        <v>-1.8803789686844263E-3</v>
      </c>
      <c r="AJ306" s="7">
        <f t="shared" si="28"/>
        <v>1490052.75</v>
      </c>
      <c r="AK306" s="27">
        <f t="shared" si="28"/>
        <v>4.3949892467483043E-3</v>
      </c>
    </row>
    <row r="307" spans="1:37" ht="22.5" x14ac:dyDescent="0.55000000000000004">
      <c r="A307" s="7" t="s">
        <v>940</v>
      </c>
      <c r="B307" s="25">
        <v>0.58333333333333337</v>
      </c>
      <c r="C307" s="7">
        <v>1480049.89</v>
      </c>
      <c r="D307" s="27">
        <f t="shared" si="26"/>
        <v>-6.7130911976103214E-3</v>
      </c>
      <c r="E307" s="7">
        <v>405576.72</v>
      </c>
      <c r="F307" s="27">
        <f t="shared" si="6"/>
        <v>-3.5274352677632237E-3</v>
      </c>
      <c r="G307" s="9">
        <v>57303714.880999997</v>
      </c>
      <c r="H307" s="9">
        <v>30359.001</v>
      </c>
      <c r="I307" s="24">
        <f t="shared" si="19"/>
        <v>30.359000999999999</v>
      </c>
      <c r="J307" s="24">
        <f t="shared" si="29"/>
        <v>30.806525444444446</v>
      </c>
      <c r="K307" s="11">
        <v>10966970.504000001</v>
      </c>
      <c r="L307" s="11">
        <v>3475315.3509999998</v>
      </c>
      <c r="M307" s="11">
        <v>186920.20499999999</v>
      </c>
      <c r="N307" s="13">
        <v>30500</v>
      </c>
      <c r="O307" s="13">
        <f>108+124</f>
        <v>232</v>
      </c>
      <c r="P307" s="13">
        <f>176+239</f>
        <v>415</v>
      </c>
      <c r="Q307" s="13">
        <v>81</v>
      </c>
      <c r="R307" s="23">
        <v>2.7</v>
      </c>
      <c r="S307" s="13">
        <v>80</v>
      </c>
      <c r="T307" s="23">
        <v>1.05</v>
      </c>
      <c r="U307" s="15" t="s">
        <v>941</v>
      </c>
      <c r="V307" s="15" t="s">
        <v>942</v>
      </c>
      <c r="W307" s="20">
        <v>-3.04</v>
      </c>
      <c r="X307" s="20"/>
      <c r="Y307" s="20"/>
      <c r="Z307" s="20"/>
      <c r="AA307" s="16">
        <v>279089</v>
      </c>
      <c r="AB307" s="17">
        <f t="shared" si="30"/>
        <v>257.07211941710352</v>
      </c>
      <c r="AC307" s="27">
        <f t="shared" si="15"/>
        <v>5.4133893553398593E-4</v>
      </c>
      <c r="AD307" s="19">
        <v>20622</v>
      </c>
      <c r="AE307" s="28">
        <f t="shared" si="31"/>
        <v>3.8630067992948769E-2</v>
      </c>
      <c r="AF307" s="16">
        <v>151200000</v>
      </c>
      <c r="AG307" s="30">
        <f t="shared" si="33"/>
        <v>4.0507337804636112E-3</v>
      </c>
      <c r="AH307" s="16">
        <v>13799000</v>
      </c>
      <c r="AI307" s="29">
        <f t="shared" si="32"/>
        <v>-1.4491703499741604E-4</v>
      </c>
      <c r="AJ307" s="7">
        <f t="shared" si="28"/>
        <v>1480049.89</v>
      </c>
      <c r="AK307" s="27">
        <f t="shared" si="28"/>
        <v>-6.7130911976103214E-3</v>
      </c>
    </row>
    <row r="308" spans="1:37" ht="22.5" x14ac:dyDescent="0.55000000000000004">
      <c r="A308" s="7" t="s">
        <v>943</v>
      </c>
      <c r="B308" s="25">
        <v>0.54166666666666663</v>
      </c>
      <c r="C308" s="7">
        <v>1469832</v>
      </c>
      <c r="D308" s="27">
        <f t="shared" si="26"/>
        <v>-6.9037470081497743E-3</v>
      </c>
      <c r="E308" s="7">
        <v>402434</v>
      </c>
      <c r="F308" s="27">
        <f t="shared" si="6"/>
        <v>-7.7487682231859312E-3</v>
      </c>
      <c r="G308" s="9">
        <v>57184110.346000001</v>
      </c>
      <c r="H308" s="9">
        <v>31772.258000000002</v>
      </c>
      <c r="I308" s="24">
        <f t="shared" si="19"/>
        <v>31.772258000000001</v>
      </c>
      <c r="J308" s="24">
        <f t="shared" si="29"/>
        <v>31.157665222222224</v>
      </c>
      <c r="K308" s="11">
        <v>10894365.666999999</v>
      </c>
      <c r="L308" s="11">
        <v>3479672.037</v>
      </c>
      <c r="M308" s="11">
        <v>731574.57400000002</v>
      </c>
      <c r="N308" s="13">
        <v>27990</v>
      </c>
      <c r="O308" s="13">
        <f>86+93</f>
        <v>179</v>
      </c>
      <c r="P308" s="13">
        <f>228+264</f>
        <v>492</v>
      </c>
      <c r="Q308" s="13">
        <v>35</v>
      </c>
      <c r="R308" s="23">
        <v>1.17</v>
      </c>
      <c r="S308" s="13">
        <v>88</v>
      </c>
      <c r="T308" s="23">
        <v>1.23</v>
      </c>
      <c r="U308" s="15" t="s">
        <v>944</v>
      </c>
      <c r="V308" s="15" t="s">
        <v>945</v>
      </c>
      <c r="W308" s="20">
        <v>-5.15</v>
      </c>
      <c r="X308" s="20"/>
      <c r="Y308" s="20"/>
      <c r="Z308" s="20"/>
      <c r="AA308" s="16">
        <v>279089</v>
      </c>
      <c r="AB308" s="17">
        <f t="shared" si="30"/>
        <v>256.39902701288833</v>
      </c>
      <c r="AC308" s="27">
        <f t="shared" si="15"/>
        <v>0</v>
      </c>
      <c r="AD308" s="19">
        <v>21508</v>
      </c>
      <c r="AE308" s="28">
        <f t="shared" si="31"/>
        <v>4.2963825041218096E-2</v>
      </c>
      <c r="AF308" s="16">
        <v>149450000</v>
      </c>
      <c r="AG308" s="30">
        <f t="shared" si="33"/>
        <v>-1.157407407407407E-2</v>
      </c>
      <c r="AH308" s="16">
        <v>13536000</v>
      </c>
      <c r="AI308" s="29">
        <f t="shared" si="32"/>
        <v>-1.9059352126965745E-2</v>
      </c>
      <c r="AJ308" s="7">
        <f t="shared" si="28"/>
        <v>1469832</v>
      </c>
      <c r="AK308" s="27">
        <f t="shared" si="28"/>
        <v>-6.9037470081497743E-3</v>
      </c>
    </row>
    <row r="309" spans="1:37" ht="22.5" x14ac:dyDescent="0.55000000000000004">
      <c r="A309" s="7" t="s">
        <v>946</v>
      </c>
      <c r="B309" s="25">
        <v>0.58333333333333337</v>
      </c>
      <c r="C309" s="7">
        <v>1469040.89</v>
      </c>
      <c r="D309" s="27">
        <f t="shared" si="26"/>
        <v>-5.3823158020782635E-4</v>
      </c>
      <c r="E309" s="7">
        <v>401683.64</v>
      </c>
      <c r="F309" s="27">
        <f t="shared" si="6"/>
        <v>-1.864554187767431E-3</v>
      </c>
      <c r="G309" s="9">
        <v>56939303.780000001</v>
      </c>
      <c r="H309" s="9">
        <v>23367.35</v>
      </c>
      <c r="I309" s="24">
        <f t="shared" si="19"/>
        <v>23.367349999999998</v>
      </c>
      <c r="J309" s="24">
        <f t="shared" si="29"/>
        <v>30.396892777777776</v>
      </c>
      <c r="K309" s="11">
        <v>10892557.132999999</v>
      </c>
      <c r="L309" s="11">
        <v>3476599.6129999999</v>
      </c>
      <c r="M309" s="11">
        <v>44313.811999999998</v>
      </c>
      <c r="N309" s="13">
        <v>20880</v>
      </c>
      <c r="O309" s="13">
        <f>119+155</f>
        <v>274</v>
      </c>
      <c r="P309" s="13">
        <f>133+172</f>
        <v>305</v>
      </c>
      <c r="Q309" s="13">
        <v>45</v>
      </c>
      <c r="R309" s="23">
        <v>0.7</v>
      </c>
      <c r="S309" s="13">
        <v>53</v>
      </c>
      <c r="T309" s="23">
        <v>0.84</v>
      </c>
      <c r="U309" s="15" t="s">
        <v>947</v>
      </c>
      <c r="V309" s="15" t="s">
        <v>948</v>
      </c>
      <c r="W309" s="20">
        <v>-2.98</v>
      </c>
      <c r="X309" s="20"/>
      <c r="Y309" s="20"/>
      <c r="Z309" s="20"/>
      <c r="AA309" s="16">
        <v>278807</v>
      </c>
      <c r="AB309" s="17">
        <f t="shared" si="30"/>
        <v>255.76280554648912</v>
      </c>
      <c r="AC309" s="27">
        <f t="shared" si="15"/>
        <v>-1.0104303645074308E-3</v>
      </c>
      <c r="AD309" s="19">
        <v>21925</v>
      </c>
      <c r="AE309" s="28">
        <f t="shared" si="31"/>
        <v>1.9388134647573052E-2</v>
      </c>
      <c r="AF309" s="16">
        <v>148840000</v>
      </c>
      <c r="AG309" s="30">
        <f t="shared" si="33"/>
        <v>-4.0816326530612734E-3</v>
      </c>
      <c r="AH309" s="16">
        <v>13494000</v>
      </c>
      <c r="AI309" s="29">
        <f t="shared" si="32"/>
        <v>-3.10283687943258E-3</v>
      </c>
      <c r="AJ309" s="7">
        <f t="shared" si="28"/>
        <v>1469040.89</v>
      </c>
      <c r="AK309" s="27">
        <f t="shared" si="28"/>
        <v>-5.3823158020782635E-4</v>
      </c>
    </row>
    <row r="310" spans="1:37" ht="22.5" x14ac:dyDescent="0.55000000000000004">
      <c r="A310" s="7" t="s">
        <v>949</v>
      </c>
      <c r="B310" s="25">
        <v>0.54166666666666663</v>
      </c>
      <c r="C310" s="7">
        <v>1471896.16</v>
      </c>
      <c r="D310" s="27">
        <f t="shared" si="26"/>
        <v>1.9436286759859644E-3</v>
      </c>
      <c r="E310" s="7">
        <v>403781</v>
      </c>
      <c r="F310" s="27">
        <f t="shared" si="6"/>
        <v>5.2214225105109424E-3</v>
      </c>
      <c r="G310" s="9">
        <v>57096646.883000001</v>
      </c>
      <c r="H310" s="9">
        <v>24112.120999999999</v>
      </c>
      <c r="I310" s="24">
        <f t="shared" si="19"/>
        <v>24.112120999999998</v>
      </c>
      <c r="J310" s="24">
        <f t="shared" si="29"/>
        <v>28.887466999999997</v>
      </c>
      <c r="K310" s="11">
        <v>10847948.787</v>
      </c>
      <c r="L310" s="11">
        <v>3480270.5490000001</v>
      </c>
      <c r="M310" s="11">
        <v>51725.103999999999</v>
      </c>
      <c r="N310" s="13">
        <v>16690</v>
      </c>
      <c r="O310" s="13">
        <v>378</v>
      </c>
      <c r="P310" s="13">
        <v>181</v>
      </c>
      <c r="Q310" s="13">
        <v>68</v>
      </c>
      <c r="R310" s="23">
        <v>1.1000000000000001</v>
      </c>
      <c r="S310" s="13">
        <v>33</v>
      </c>
      <c r="T310" s="23">
        <v>0.4</v>
      </c>
      <c r="U310" s="15" t="s">
        <v>950</v>
      </c>
      <c r="V310" s="15" t="s">
        <v>951</v>
      </c>
      <c r="W310" s="20">
        <v>-0.52</v>
      </c>
      <c r="X310" s="20"/>
      <c r="Y310" s="20"/>
      <c r="Z310" s="20"/>
      <c r="AA310" s="16">
        <v>278737</v>
      </c>
      <c r="AB310" s="17">
        <f t="shared" si="30"/>
        <v>256.24465434800544</v>
      </c>
      <c r="AC310" s="27">
        <f t="shared" si="15"/>
        <v>-2.5106973641264574E-4</v>
      </c>
      <c r="AD310" s="19">
        <v>23426</v>
      </c>
      <c r="AE310" s="28">
        <f t="shared" si="31"/>
        <v>6.846066134549611E-2</v>
      </c>
      <c r="AF310" s="16">
        <v>148870000</v>
      </c>
      <c r="AG310" s="29">
        <f t="shared" si="33"/>
        <v>2.0155872077398662E-4</v>
      </c>
      <c r="AH310" s="16">
        <v>13443000</v>
      </c>
      <c r="AI310" s="29">
        <f t="shared" si="32"/>
        <v>-3.7794575366829619E-3</v>
      </c>
      <c r="AJ310" s="7">
        <f t="shared" si="28"/>
        <v>1471896.16</v>
      </c>
      <c r="AK310" s="27">
        <f t="shared" si="28"/>
        <v>1.9436286759859644E-3</v>
      </c>
    </row>
    <row r="311" spans="1:37" ht="22.5" x14ac:dyDescent="0.55000000000000004">
      <c r="A311" s="7" t="s">
        <v>952</v>
      </c>
      <c r="B311" s="25">
        <v>0.60416666666666663</v>
      </c>
      <c r="C311" s="7">
        <v>1473509.25</v>
      </c>
      <c r="D311" s="27">
        <f t="shared" si="26"/>
        <v>1.0959264952494774E-3</v>
      </c>
      <c r="E311" s="7">
        <v>404485</v>
      </c>
      <c r="F311" s="27">
        <f t="shared" si="6"/>
        <v>1.7435193830319662E-3</v>
      </c>
      <c r="G311" s="9">
        <v>57156352.636</v>
      </c>
      <c r="H311" s="9">
        <v>39501.432000000001</v>
      </c>
      <c r="I311" s="24">
        <f t="shared" si="19"/>
        <v>39.501432000000001</v>
      </c>
      <c r="J311" s="24">
        <f t="shared" si="29"/>
        <v>29.915508555555554</v>
      </c>
      <c r="K311" s="11">
        <v>10742697.450999999</v>
      </c>
      <c r="L311" s="11">
        <v>3483543.4789999998</v>
      </c>
      <c r="M311" s="11">
        <v>58454.033000000003</v>
      </c>
      <c r="N311" s="13">
        <v>26720</v>
      </c>
      <c r="O311" s="13">
        <f>171+135</f>
        <v>306</v>
      </c>
      <c r="P311" s="13">
        <f>131+168</f>
        <v>299</v>
      </c>
      <c r="Q311" s="13">
        <v>45</v>
      </c>
      <c r="R311" s="23">
        <v>1.2</v>
      </c>
      <c r="S311" s="13">
        <v>41</v>
      </c>
      <c r="T311" s="23">
        <v>0.74</v>
      </c>
      <c r="U311" s="15" t="s">
        <v>953</v>
      </c>
      <c r="V311" s="15" t="s">
        <v>954</v>
      </c>
      <c r="W311" s="20">
        <v>-0.46</v>
      </c>
      <c r="X311" s="20"/>
      <c r="Y311" s="20"/>
      <c r="Z311" s="20"/>
      <c r="AA311" s="16">
        <v>278114</v>
      </c>
      <c r="AB311" s="17">
        <f t="shared" si="30"/>
        <v>256.66666750325408</v>
      </c>
      <c r="AC311" s="27">
        <f t="shared" si="15"/>
        <v>-2.2350818154748264E-3</v>
      </c>
      <c r="AD311" s="19">
        <v>22677</v>
      </c>
      <c r="AE311" s="28">
        <f t="shared" si="31"/>
        <v>-3.1973021429181236E-2</v>
      </c>
      <c r="AF311" s="16">
        <v>149820000</v>
      </c>
      <c r="AG311" s="29">
        <f t="shared" si="33"/>
        <v>6.3814065963592181E-3</v>
      </c>
      <c r="AH311" s="16">
        <v>13626000</v>
      </c>
      <c r="AI311" s="29">
        <f t="shared" si="32"/>
        <v>1.3613032805177339E-2</v>
      </c>
      <c r="AJ311" s="7">
        <f t="shared" si="28"/>
        <v>1473509.25</v>
      </c>
      <c r="AK311" s="27">
        <f t="shared" si="28"/>
        <v>1.0959264952494774E-3</v>
      </c>
    </row>
    <row r="312" spans="1:37" ht="22.5" x14ac:dyDescent="0.55000000000000004">
      <c r="A312" s="7" t="s">
        <v>955</v>
      </c>
      <c r="B312" s="25">
        <v>0.56944444444444442</v>
      </c>
      <c r="C312" s="7">
        <v>1463758</v>
      </c>
      <c r="D312" s="27">
        <f t="shared" si="26"/>
        <v>-6.6177053181036838E-3</v>
      </c>
      <c r="E312" s="7">
        <v>400033</v>
      </c>
      <c r="F312" s="27">
        <f t="shared" si="6"/>
        <v>-1.1006588625041669E-2</v>
      </c>
      <c r="G312" s="9">
        <v>55881249.233000003</v>
      </c>
      <c r="H312" s="9">
        <v>34832.733999999997</v>
      </c>
      <c r="I312" s="24">
        <f t="shared" si="19"/>
        <v>34.832733999999995</v>
      </c>
      <c r="J312" s="24">
        <f t="shared" si="29"/>
        <v>30.563745777777779</v>
      </c>
      <c r="K312" s="11">
        <v>10602647.865</v>
      </c>
      <c r="L312" s="11">
        <v>3478351.55</v>
      </c>
      <c r="M312" s="11">
        <v>16755.61</v>
      </c>
      <c r="N312" s="13">
        <v>28970</v>
      </c>
      <c r="O312" s="13">
        <f>71+60</f>
        <v>131</v>
      </c>
      <c r="P312" s="13">
        <f>213+309</f>
        <v>522</v>
      </c>
      <c r="Q312" s="13">
        <v>20</v>
      </c>
      <c r="R312" s="23">
        <v>0.27300000000000002</v>
      </c>
      <c r="S312" s="13">
        <v>118</v>
      </c>
      <c r="T312" s="23">
        <v>1.33</v>
      </c>
      <c r="U312" s="15" t="s">
        <v>956</v>
      </c>
      <c r="V312" s="15" t="s">
        <v>957</v>
      </c>
      <c r="W312" s="20">
        <v>-3.87</v>
      </c>
      <c r="X312" s="20"/>
      <c r="Y312" s="20"/>
      <c r="Z312" s="20"/>
      <c r="AA312" s="16">
        <v>277852</v>
      </c>
      <c r="AB312" s="17">
        <f t="shared" si="30"/>
        <v>251.79681502382564</v>
      </c>
      <c r="AC312" s="27">
        <f t="shared" si="15"/>
        <v>-9.4205973090166761E-4</v>
      </c>
      <c r="AD312" s="19">
        <v>22690</v>
      </c>
      <c r="AE312" s="28">
        <f t="shared" si="31"/>
        <v>5.7326806896851323E-4</v>
      </c>
      <c r="AF312" s="16">
        <v>149550000</v>
      </c>
      <c r="AG312" s="29">
        <f t="shared" si="33"/>
        <v>-1.8021625951141207E-3</v>
      </c>
      <c r="AH312" s="16">
        <v>13563000</v>
      </c>
      <c r="AI312" s="29">
        <f t="shared" si="32"/>
        <v>-4.6235138705416068E-3</v>
      </c>
      <c r="AJ312" s="7">
        <f t="shared" si="28"/>
        <v>1463758</v>
      </c>
      <c r="AK312" s="27">
        <f t="shared" si="28"/>
        <v>-6.6177053181036838E-3</v>
      </c>
    </row>
    <row r="313" spans="1:37" ht="22.5" x14ac:dyDescent="0.55000000000000004">
      <c r="A313" s="7" t="s">
        <v>958</v>
      </c>
      <c r="B313" s="25">
        <v>0.60416666666666663</v>
      </c>
      <c r="C313" s="7">
        <v>1439416.8</v>
      </c>
      <c r="D313" s="27">
        <f t="shared" si="26"/>
        <v>-1.662925155660977E-2</v>
      </c>
      <c r="E313" s="7">
        <v>391128.04</v>
      </c>
      <c r="F313" s="27">
        <f t="shared" si="6"/>
        <v>-2.2260563503511022E-2</v>
      </c>
      <c r="G313" s="9">
        <v>54736826.416000001</v>
      </c>
      <c r="H313" s="9">
        <v>40119.983</v>
      </c>
      <c r="I313" s="24">
        <f t="shared" si="19"/>
        <v>40.119982999999998</v>
      </c>
      <c r="J313" s="24">
        <f t="shared" si="29"/>
        <v>31.213793777777774</v>
      </c>
      <c r="K313" s="11">
        <v>10434029.999</v>
      </c>
      <c r="L313" s="11">
        <v>3461352.1630000002</v>
      </c>
      <c r="M313" s="11">
        <v>1254546.2509999999</v>
      </c>
      <c r="N313" s="13">
        <v>26140</v>
      </c>
      <c r="O313" s="13">
        <f>48+87</f>
        <v>135</v>
      </c>
      <c r="P313" s="13">
        <f>257+346</f>
        <v>603</v>
      </c>
      <c r="Q313" s="13">
        <v>19</v>
      </c>
      <c r="R313" s="23">
        <v>0.26800000000000002</v>
      </c>
      <c r="S313" s="13">
        <v>236</v>
      </c>
      <c r="T313" s="23">
        <v>3.01</v>
      </c>
      <c r="U313" s="15" t="s">
        <v>959</v>
      </c>
      <c r="V313" s="15" t="s">
        <v>960</v>
      </c>
      <c r="W313" s="20">
        <v>-6.37</v>
      </c>
      <c r="X313" s="20"/>
      <c r="Y313" s="20"/>
      <c r="Z313" s="20"/>
      <c r="AA313" s="16">
        <v>277651</v>
      </c>
      <c r="AB313" s="17">
        <f t="shared" si="30"/>
        <v>247.18876783443966</v>
      </c>
      <c r="AC313" s="27">
        <f t="shared" si="15"/>
        <v>-7.2340670572823562E-4</v>
      </c>
      <c r="AD313" s="19">
        <v>22060</v>
      </c>
      <c r="AE313" s="28">
        <f t="shared" si="31"/>
        <v>-2.7765535478184167E-2</v>
      </c>
      <c r="AF313" s="16">
        <v>148850000</v>
      </c>
      <c r="AG313" s="29">
        <f t="shared" si="33"/>
        <v>-4.6807087930458291E-3</v>
      </c>
      <c r="AH313" s="16">
        <v>13561000</v>
      </c>
      <c r="AI313" s="29">
        <f t="shared" si="32"/>
        <v>-1.4746000147458638E-4</v>
      </c>
      <c r="AJ313" s="7">
        <f t="shared" ref="AJ313:AK344" si="34">C313</f>
        <v>1439416.8</v>
      </c>
      <c r="AK313" s="27">
        <f t="shared" si="34"/>
        <v>-1.662925155660977E-2</v>
      </c>
    </row>
    <row r="314" spans="1:37" ht="22.5" x14ac:dyDescent="0.55000000000000004">
      <c r="A314" s="7" t="s">
        <v>961</v>
      </c>
      <c r="B314" s="25">
        <v>0.58333333333333337</v>
      </c>
      <c r="C314" s="7">
        <v>1438448.69</v>
      </c>
      <c r="D314" s="27">
        <f t="shared" si="26"/>
        <v>-6.7257100236717271E-4</v>
      </c>
      <c r="E314" s="7">
        <v>388299.71</v>
      </c>
      <c r="F314" s="27">
        <f t="shared" ref="F314:F397" si="35">E314/E313-1</f>
        <v>-7.2312125717193254E-3</v>
      </c>
      <c r="G314" s="9">
        <v>54643192.016000003</v>
      </c>
      <c r="H314" s="9">
        <v>27349.888999999999</v>
      </c>
      <c r="I314" s="24">
        <f t="shared" si="19"/>
        <v>27.349888999999997</v>
      </c>
      <c r="J314" s="24">
        <f t="shared" si="29"/>
        <v>31.17833522222222</v>
      </c>
      <c r="K314" s="11">
        <v>10402347.945</v>
      </c>
      <c r="L314" s="11">
        <v>3455086.2390000001</v>
      </c>
      <c r="M314" s="11">
        <v>122363.814</v>
      </c>
      <c r="N314" s="13">
        <v>24210</v>
      </c>
      <c r="O314" s="13">
        <f>126+132</f>
        <v>258</v>
      </c>
      <c r="P314" s="13">
        <f>169+259</f>
        <v>428</v>
      </c>
      <c r="Q314" s="13">
        <v>25</v>
      </c>
      <c r="R314" s="23">
        <v>0.78</v>
      </c>
      <c r="S314" s="13">
        <v>91</v>
      </c>
      <c r="T314" s="23">
        <v>1.3</v>
      </c>
      <c r="U314" s="15" t="s">
        <v>962</v>
      </c>
      <c r="V314" s="15" t="s">
        <v>963</v>
      </c>
      <c r="W314" s="20">
        <v>-3.71</v>
      </c>
      <c r="X314" s="20"/>
      <c r="Y314" s="20"/>
      <c r="Z314" s="20"/>
      <c r="AA314" s="16">
        <v>277943</v>
      </c>
      <c r="AB314" s="17">
        <f t="shared" si="30"/>
        <v>246.45566249194979</v>
      </c>
      <c r="AC314" s="27">
        <f t="shared" si="15"/>
        <v>1.0516799867459348E-3</v>
      </c>
      <c r="AD314" s="19">
        <v>21059</v>
      </c>
      <c r="AE314" s="28">
        <f t="shared" si="31"/>
        <v>-4.5376246600181358E-2</v>
      </c>
      <c r="AF314" s="16">
        <v>148490000</v>
      </c>
      <c r="AG314" s="29">
        <f t="shared" si="33"/>
        <v>-2.4185421565334764E-3</v>
      </c>
      <c r="AH314" s="16">
        <v>13614000</v>
      </c>
      <c r="AI314" s="29">
        <f t="shared" si="32"/>
        <v>3.9082663520388916E-3</v>
      </c>
      <c r="AJ314" s="7">
        <f t="shared" si="34"/>
        <v>1438448.69</v>
      </c>
      <c r="AK314" s="27">
        <f t="shared" si="34"/>
        <v>-6.7257100236717271E-4</v>
      </c>
    </row>
    <row r="315" spans="1:37" ht="22.5" x14ac:dyDescent="0.55000000000000004">
      <c r="A315" s="7" t="s">
        <v>964</v>
      </c>
      <c r="B315" s="25">
        <v>0.58333333333333337</v>
      </c>
      <c r="C315" s="7">
        <v>1443712.93</v>
      </c>
      <c r="D315" s="27">
        <f t="shared" si="26"/>
        <v>3.6596647740003707E-3</v>
      </c>
      <c r="E315" s="7">
        <v>389473.25</v>
      </c>
      <c r="F315" s="27">
        <f t="shared" si="35"/>
        <v>3.0222530941368397E-3</v>
      </c>
      <c r="G315" s="9">
        <v>55062358.395000003</v>
      </c>
      <c r="H315" s="9">
        <v>24368.776999999998</v>
      </c>
      <c r="I315" s="24">
        <f t="shared" si="19"/>
        <v>24.368776999999998</v>
      </c>
      <c r="J315" s="24">
        <f t="shared" si="29"/>
        <v>30.64261611111111</v>
      </c>
      <c r="K315" s="11">
        <v>10424524.151000001</v>
      </c>
      <c r="L315" s="11">
        <v>3447117.4330000002</v>
      </c>
      <c r="M315" s="11">
        <v>72225.570000000007</v>
      </c>
      <c r="N315" s="13">
        <v>19910</v>
      </c>
      <c r="O315" s="13">
        <f>235+170</f>
        <v>405</v>
      </c>
      <c r="P315" s="13">
        <f>121+145</f>
        <v>266</v>
      </c>
      <c r="Q315" s="13">
        <v>39</v>
      </c>
      <c r="R315" s="23">
        <v>1.03</v>
      </c>
      <c r="S315" s="13">
        <v>59</v>
      </c>
      <c r="T315" s="23">
        <v>1.06</v>
      </c>
      <c r="U315" s="15" t="s">
        <v>965</v>
      </c>
      <c r="V315" s="15" t="s">
        <v>966</v>
      </c>
      <c r="W315" s="20">
        <v>-1.21</v>
      </c>
      <c r="X315" s="20"/>
      <c r="Y315" s="20"/>
      <c r="Z315" s="20"/>
      <c r="AA315" s="16">
        <v>277571</v>
      </c>
      <c r="AB315" s="17">
        <f t="shared" si="30"/>
        <v>248.347269631914</v>
      </c>
      <c r="AC315" s="27">
        <f t="shared" si="15"/>
        <v>-1.3384039173499618E-3</v>
      </c>
      <c r="AD315" s="19">
        <v>21325</v>
      </c>
      <c r="AE315" s="28">
        <f t="shared" si="31"/>
        <v>1.2631179068331777E-2</v>
      </c>
      <c r="AF315" s="16">
        <v>149150000</v>
      </c>
      <c r="AG315" s="29">
        <f t="shared" si="33"/>
        <v>4.4447437537882273E-3</v>
      </c>
      <c r="AH315" s="16">
        <v>13561000</v>
      </c>
      <c r="AI315" s="29">
        <f t="shared" si="32"/>
        <v>-3.8930512707506804E-3</v>
      </c>
      <c r="AJ315" s="7">
        <f t="shared" si="34"/>
        <v>1443712.93</v>
      </c>
      <c r="AK315" s="27">
        <f t="shared" si="34"/>
        <v>3.6596647740003707E-3</v>
      </c>
    </row>
    <row r="316" spans="1:37" ht="22.5" x14ac:dyDescent="0.55000000000000004">
      <c r="A316" s="7" t="s">
        <v>967</v>
      </c>
      <c r="B316" s="25">
        <v>0.58333333333333337</v>
      </c>
      <c r="C316" s="7">
        <v>1440855</v>
      </c>
      <c r="D316" s="27">
        <f t="shared" si="26"/>
        <v>-1.9795694425206456E-3</v>
      </c>
      <c r="E316" s="7">
        <v>387218.37</v>
      </c>
      <c r="F316" s="27">
        <f t="shared" si="35"/>
        <v>-5.7895632113373896E-3</v>
      </c>
      <c r="G316" s="9">
        <v>54954124.625</v>
      </c>
      <c r="H316" s="9">
        <v>25600.477999999999</v>
      </c>
      <c r="I316" s="24">
        <f t="shared" si="19"/>
        <v>25.600477999999999</v>
      </c>
      <c r="J316" s="24">
        <f t="shared" si="29"/>
        <v>30.113891333333331</v>
      </c>
      <c r="K316" s="11">
        <v>10436122.882999999</v>
      </c>
      <c r="L316" s="11">
        <v>3436844.1170000001</v>
      </c>
      <c r="M316" s="11">
        <v>82682.69</v>
      </c>
      <c r="N316" s="13">
        <v>23260</v>
      </c>
      <c r="O316" s="13">
        <f>98+117</f>
        <v>215</v>
      </c>
      <c r="P316" s="13">
        <f>167+283</f>
        <v>450</v>
      </c>
      <c r="Q316" s="13">
        <v>25</v>
      </c>
      <c r="R316" s="23">
        <v>0.97399999999999998</v>
      </c>
      <c r="S316" s="13">
        <v>99</v>
      </c>
      <c r="T316" s="23">
        <v>1.62</v>
      </c>
      <c r="U316" s="15" t="s">
        <v>968</v>
      </c>
      <c r="V316" s="15" t="s">
        <v>969</v>
      </c>
      <c r="W316" s="20">
        <v>-3.15</v>
      </c>
      <c r="X316" s="20"/>
      <c r="Y316" s="20"/>
      <c r="Z316" s="20"/>
      <c r="AA316" s="16">
        <v>278254</v>
      </c>
      <c r="AB316" s="17">
        <f t="shared" si="30"/>
        <v>247.35346706606194</v>
      </c>
      <c r="AC316" s="27">
        <f t="shared" si="15"/>
        <v>2.4606316942332729E-3</v>
      </c>
      <c r="AD316" s="19">
        <v>23923</v>
      </c>
      <c r="AE316" s="28">
        <f t="shared" si="31"/>
        <v>0.1218288393903868</v>
      </c>
      <c r="AF316" s="16">
        <v>149990000</v>
      </c>
      <c r="AG316" s="29">
        <f t="shared" si="33"/>
        <v>5.6319141803553574E-3</v>
      </c>
      <c r="AH316" s="16">
        <v>13787000</v>
      </c>
      <c r="AI316" s="29">
        <f t="shared" si="32"/>
        <v>1.6665437652090498E-2</v>
      </c>
      <c r="AJ316" s="7">
        <f t="shared" si="34"/>
        <v>1440855</v>
      </c>
      <c r="AK316" s="27">
        <f t="shared" si="34"/>
        <v>-1.9795694425206456E-3</v>
      </c>
    </row>
    <row r="317" spans="1:37" ht="22.5" x14ac:dyDescent="0.55000000000000004">
      <c r="A317" s="7" t="s">
        <v>970</v>
      </c>
      <c r="B317" s="25">
        <v>0.58333333333333337</v>
      </c>
      <c r="C317" s="7">
        <v>1423501.21</v>
      </c>
      <c r="D317" s="27">
        <f t="shared" si="26"/>
        <v>-1.2044091876004193E-2</v>
      </c>
      <c r="E317" s="7">
        <v>379975.8</v>
      </c>
      <c r="F317" s="27">
        <f t="shared" si="35"/>
        <v>-1.8704097122251739E-2</v>
      </c>
      <c r="G317" s="9">
        <v>54271651.159999996</v>
      </c>
      <c r="H317" s="9">
        <v>35826.758999999998</v>
      </c>
      <c r="I317" s="24">
        <f t="shared" si="19"/>
        <v>35.826758999999996</v>
      </c>
      <c r="J317" s="24">
        <f t="shared" si="29"/>
        <v>30.564391444444443</v>
      </c>
      <c r="K317" s="11">
        <v>10337342.4</v>
      </c>
      <c r="L317" s="11">
        <v>3423744.8659999999</v>
      </c>
      <c r="M317" s="11">
        <v>99366.828999999998</v>
      </c>
      <c r="N317" s="13">
        <v>28020</v>
      </c>
      <c r="O317" s="13">
        <f>80+79</f>
        <v>159</v>
      </c>
      <c r="P317" s="13">
        <f>315+205</f>
        <v>520</v>
      </c>
      <c r="Q317" s="13">
        <v>26</v>
      </c>
      <c r="R317" s="23">
        <v>1.01</v>
      </c>
      <c r="S317" s="13">
        <v>148</v>
      </c>
      <c r="T317" s="23">
        <v>2.2000000000000002</v>
      </c>
      <c r="U317" s="15" t="s">
        <v>971</v>
      </c>
      <c r="V317" s="15" t="s">
        <v>972</v>
      </c>
      <c r="W317" s="20">
        <v>-5.61</v>
      </c>
      <c r="X317" s="20"/>
      <c r="Y317" s="20"/>
      <c r="Z317" s="20"/>
      <c r="AA317" s="16">
        <v>278415</v>
      </c>
      <c r="AB317" s="17">
        <f t="shared" si="30"/>
        <v>244.35730268124922</v>
      </c>
      <c r="AC317" s="27">
        <f t="shared" si="15"/>
        <v>5.7860803438591901E-4</v>
      </c>
      <c r="AD317" s="19">
        <v>23686</v>
      </c>
      <c r="AE317" s="28">
        <f t="shared" si="31"/>
        <v>-9.9067842661872962E-3</v>
      </c>
      <c r="AF317" s="16">
        <v>149230000</v>
      </c>
      <c r="AG317" s="29">
        <f t="shared" si="33"/>
        <v>-5.0670044669645087E-3</v>
      </c>
      <c r="AH317" s="16">
        <v>13704000</v>
      </c>
      <c r="AI317" s="29">
        <f t="shared" si="32"/>
        <v>-6.0201639225356818E-3</v>
      </c>
      <c r="AJ317" s="7">
        <f t="shared" si="34"/>
        <v>1423501.21</v>
      </c>
      <c r="AK317" s="27">
        <f t="shared" si="34"/>
        <v>-1.2044091876004193E-2</v>
      </c>
    </row>
    <row r="318" spans="1:37" ht="22.5" x14ac:dyDescent="0.55000000000000004">
      <c r="A318" s="7" t="s">
        <v>973</v>
      </c>
      <c r="B318" s="25">
        <v>0.59375</v>
      </c>
      <c r="C318" s="7">
        <v>1427609.28</v>
      </c>
      <c r="D318" s="27">
        <f t="shared" si="26"/>
        <v>2.8858914703697724E-3</v>
      </c>
      <c r="E318" s="7">
        <v>380362.63</v>
      </c>
      <c r="F318" s="27">
        <f t="shared" si="35"/>
        <v>1.0180385171898454E-3</v>
      </c>
      <c r="G318" s="9">
        <v>54426937.730999999</v>
      </c>
      <c r="H318" s="9">
        <v>19988.179</v>
      </c>
      <c r="I318" s="24">
        <f t="shared" si="19"/>
        <v>19.988178999999999</v>
      </c>
      <c r="J318" s="24">
        <f t="shared" si="29"/>
        <v>30.188927999999994</v>
      </c>
      <c r="K318" s="11">
        <v>10357029.497</v>
      </c>
      <c r="L318" s="11">
        <v>3417177.6269999999</v>
      </c>
      <c r="M318" s="11">
        <v>1491701.155</v>
      </c>
      <c r="N318" s="13">
        <v>17880</v>
      </c>
      <c r="O318" s="13">
        <f>209+139</f>
        <v>348</v>
      </c>
      <c r="P318" s="13">
        <f>207+166</f>
        <v>373</v>
      </c>
      <c r="Q318" s="13">
        <v>40</v>
      </c>
      <c r="R318" s="23">
        <v>1.1100000000000001</v>
      </c>
      <c r="S318" s="13">
        <v>75</v>
      </c>
      <c r="T318" s="23">
        <v>1.59</v>
      </c>
      <c r="U318" s="15" t="s">
        <v>974</v>
      </c>
      <c r="V318" s="15" t="s">
        <v>975</v>
      </c>
      <c r="W318" s="20">
        <v>-2.94</v>
      </c>
      <c r="X318" s="20"/>
      <c r="Y318" s="20"/>
      <c r="Z318" s="20"/>
      <c r="AA318" s="16">
        <v>278676</v>
      </c>
      <c r="AB318" s="17">
        <f t="shared" si="30"/>
        <v>244.73275364581093</v>
      </c>
      <c r="AC318" s="27">
        <f t="shared" si="15"/>
        <v>9.3744949086804752E-4</v>
      </c>
      <c r="AD318" s="19">
        <v>23349</v>
      </c>
      <c r="AE318" s="28">
        <f t="shared" si="31"/>
        <v>-1.422781389850547E-2</v>
      </c>
      <c r="AF318" s="16">
        <v>148550000</v>
      </c>
      <c r="AG318" s="29">
        <f t="shared" si="33"/>
        <v>-4.5567245191985295E-3</v>
      </c>
      <c r="AH318" s="16">
        <v>13630000</v>
      </c>
      <c r="AI318" s="29">
        <f t="shared" si="32"/>
        <v>-5.3998832457676782E-3</v>
      </c>
      <c r="AJ318" s="7">
        <f t="shared" si="34"/>
        <v>1427609.28</v>
      </c>
      <c r="AK318" s="27">
        <f t="shared" si="34"/>
        <v>2.8858914703697724E-3</v>
      </c>
    </row>
    <row r="319" spans="1:37" ht="22.5" x14ac:dyDescent="0.55000000000000004">
      <c r="A319" s="7" t="s">
        <v>976</v>
      </c>
      <c r="B319" s="25">
        <v>0.57291666666666663</v>
      </c>
      <c r="C319" s="7">
        <v>1430017.53</v>
      </c>
      <c r="D319" s="27">
        <f t="shared" si="26"/>
        <v>1.6869111414012927E-3</v>
      </c>
      <c r="E319" s="7">
        <v>380587.72</v>
      </c>
      <c r="F319" s="27">
        <f t="shared" si="35"/>
        <v>5.9177737834015254E-4</v>
      </c>
      <c r="G319" s="9">
        <v>54517248.968000002</v>
      </c>
      <c r="H319" s="9">
        <v>21445.724999999999</v>
      </c>
      <c r="I319" s="24">
        <f t="shared" si="19"/>
        <v>21.445724999999999</v>
      </c>
      <c r="J319" s="24">
        <f t="shared" si="29"/>
        <v>29.892661777777775</v>
      </c>
      <c r="K319" s="11">
        <v>10371309.51</v>
      </c>
      <c r="L319" s="11">
        <v>3409118.87</v>
      </c>
      <c r="M319" s="11">
        <v>126511.465</v>
      </c>
      <c r="N319" s="13">
        <v>19830</v>
      </c>
      <c r="O319" s="13">
        <f>139+229</f>
        <v>368</v>
      </c>
      <c r="P319" s="13">
        <f>150+142</f>
        <v>292</v>
      </c>
      <c r="Q319" s="13">
        <v>56</v>
      </c>
      <c r="R319" s="23">
        <v>1.1200000000000001</v>
      </c>
      <c r="S319" s="13">
        <v>65</v>
      </c>
      <c r="T319" s="23">
        <v>1.5</v>
      </c>
      <c r="U319" s="15" t="s">
        <v>977</v>
      </c>
      <c r="V319" s="15" t="s">
        <v>978</v>
      </c>
      <c r="W319" s="20">
        <v>-2.1</v>
      </c>
      <c r="X319" s="20"/>
      <c r="Y319" s="20"/>
      <c r="Z319" s="20"/>
      <c r="AA319" s="16">
        <v>278948</v>
      </c>
      <c r="AB319" s="17">
        <f t="shared" si="30"/>
        <v>244.8401757603568</v>
      </c>
      <c r="AC319" s="27">
        <f t="shared" si="15"/>
        <v>9.760438645596281E-4</v>
      </c>
      <c r="AD319" s="19">
        <v>23046</v>
      </c>
      <c r="AE319" s="28">
        <f t="shared" si="31"/>
        <v>-1.2977001156366463E-2</v>
      </c>
      <c r="AF319" s="16">
        <v>148490000</v>
      </c>
      <c r="AG319" s="29">
        <f t="shared" si="33"/>
        <v>-4.0390440928983473E-4</v>
      </c>
      <c r="AH319" s="16">
        <v>13674000</v>
      </c>
      <c r="AI319" s="29">
        <f t="shared" si="32"/>
        <v>3.2281731474688158E-3</v>
      </c>
      <c r="AJ319" s="7">
        <f t="shared" si="34"/>
        <v>1430017.53</v>
      </c>
      <c r="AK319" s="27">
        <f t="shared" si="34"/>
        <v>1.6869111414012927E-3</v>
      </c>
    </row>
    <row r="320" spans="1:37" ht="22.5" x14ac:dyDescent="0.55000000000000004">
      <c r="A320" s="7" t="s">
        <v>979</v>
      </c>
      <c r="B320" s="25">
        <v>0.61458333333333337</v>
      </c>
      <c r="C320" s="7">
        <v>1437360.49</v>
      </c>
      <c r="D320" s="27">
        <f t="shared" si="26"/>
        <v>5.1348741158439015E-3</v>
      </c>
      <c r="E320" s="7">
        <v>384055.61</v>
      </c>
      <c r="F320" s="27">
        <f t="shared" si="35"/>
        <v>9.1119335116751632E-3</v>
      </c>
      <c r="G320" s="9">
        <v>54798739.417000003</v>
      </c>
      <c r="H320" s="9">
        <v>30596.467000000001</v>
      </c>
      <c r="I320" s="24">
        <f t="shared" si="19"/>
        <v>30.596467000000001</v>
      </c>
      <c r="J320" s="24">
        <f t="shared" si="29"/>
        <v>28.903221222222221</v>
      </c>
      <c r="K320" s="11">
        <v>10424264.874</v>
      </c>
      <c r="L320" s="11">
        <v>3405230.2140000002</v>
      </c>
      <c r="M320" s="11">
        <v>115571.046</v>
      </c>
      <c r="N320" s="13">
        <v>22050</v>
      </c>
      <c r="O320" s="13">
        <f>213+324</f>
        <v>537</v>
      </c>
      <c r="P320" s="13">
        <f>61+70</f>
        <v>131</v>
      </c>
      <c r="Q320" s="13">
        <v>86</v>
      </c>
      <c r="R320" s="23">
        <v>1.6</v>
      </c>
      <c r="S320" s="13">
        <v>45</v>
      </c>
      <c r="T320" s="23">
        <v>1.2</v>
      </c>
      <c r="U320" s="15" t="s">
        <v>980</v>
      </c>
      <c r="V320" s="15" t="s">
        <v>981</v>
      </c>
      <c r="W320" s="20">
        <v>-0.7</v>
      </c>
      <c r="X320" s="20"/>
      <c r="Y320" s="20"/>
      <c r="Z320" s="20"/>
      <c r="AA320" s="16">
        <v>279199</v>
      </c>
      <c r="AB320" s="17">
        <f t="shared" si="30"/>
        <v>245.80401256809657</v>
      </c>
      <c r="AC320" s="27">
        <f t="shared" si="15"/>
        <v>8.9980928345068101E-4</v>
      </c>
      <c r="AD320" s="19">
        <v>23386</v>
      </c>
      <c r="AE320" s="28">
        <f t="shared" si="31"/>
        <v>1.4753102490670855E-2</v>
      </c>
      <c r="AF320" s="16">
        <v>147820000</v>
      </c>
      <c r="AG320" s="29">
        <f t="shared" si="33"/>
        <v>-4.5120883561182712E-3</v>
      </c>
      <c r="AH320" s="16">
        <v>13607000</v>
      </c>
      <c r="AI320" s="29">
        <f t="shared" si="32"/>
        <v>-4.8998098581248817E-3</v>
      </c>
      <c r="AJ320" s="7">
        <f t="shared" si="34"/>
        <v>1437360.49</v>
      </c>
      <c r="AK320" s="27">
        <f t="shared" si="34"/>
        <v>5.1348741158439015E-3</v>
      </c>
    </row>
    <row r="321" spans="1:37" ht="22.5" x14ac:dyDescent="0.55000000000000004">
      <c r="A321" s="7" t="s">
        <v>982</v>
      </c>
      <c r="B321" s="25">
        <v>0.58333333333333337</v>
      </c>
      <c r="C321" s="7">
        <v>1448924.32</v>
      </c>
      <c r="D321" s="27">
        <f t="shared" si="26"/>
        <v>8.045184266891825E-3</v>
      </c>
      <c r="E321" s="7">
        <v>390142.96</v>
      </c>
      <c r="F321" s="27">
        <f t="shared" si="35"/>
        <v>1.5850178571795936E-2</v>
      </c>
      <c r="G321" s="9">
        <v>54734337.475000001</v>
      </c>
      <c r="H321" s="9">
        <v>29231.097000000002</v>
      </c>
      <c r="I321" s="24">
        <f t="shared" si="19"/>
        <v>29.231097000000002</v>
      </c>
      <c r="J321" s="24">
        <f t="shared" si="29"/>
        <v>28.280817111111109</v>
      </c>
      <c r="K321" s="11">
        <v>10528339.878</v>
      </c>
      <c r="L321" s="11">
        <v>3415856.93</v>
      </c>
      <c r="M321" s="11">
        <v>1424612.2790000001</v>
      </c>
      <c r="N321" s="13">
        <v>28210</v>
      </c>
      <c r="O321" s="13">
        <f>339+242</f>
        <v>581</v>
      </c>
      <c r="P321" s="13">
        <f>112+55</f>
        <v>167</v>
      </c>
      <c r="Q321" s="13">
        <v>138</v>
      </c>
      <c r="R321" s="23">
        <v>2.02</v>
      </c>
      <c r="S321" s="13">
        <v>37</v>
      </c>
      <c r="T321" s="23">
        <v>0.82599999999999996</v>
      </c>
      <c r="U321" s="15" t="s">
        <v>983</v>
      </c>
      <c r="V321" s="15" t="s">
        <v>984</v>
      </c>
      <c r="W321" s="20">
        <v>1.97</v>
      </c>
      <c r="X321" s="20"/>
      <c r="Y321" s="20"/>
      <c r="Z321" s="20"/>
      <c r="AA321" s="16">
        <v>279470</v>
      </c>
      <c r="AB321" s="17">
        <f t="shared" si="30"/>
        <v>245.7456409739865</v>
      </c>
      <c r="AC321" s="27">
        <f t="shared" si="15"/>
        <v>9.7063384897499994E-4</v>
      </c>
      <c r="AD321" s="19">
        <v>23170</v>
      </c>
      <c r="AE321" s="28">
        <f t="shared" si="31"/>
        <v>-9.2362952193619785E-3</v>
      </c>
      <c r="AF321" s="16">
        <v>148900000</v>
      </c>
      <c r="AG321" s="29">
        <f t="shared" si="33"/>
        <v>7.3061831957785817E-3</v>
      </c>
      <c r="AH321" s="16">
        <v>13803000</v>
      </c>
      <c r="AI321" s="29">
        <f t="shared" si="32"/>
        <v>1.4404350701844537E-2</v>
      </c>
      <c r="AJ321" s="7">
        <f t="shared" si="34"/>
        <v>1448924.32</v>
      </c>
      <c r="AK321" s="27">
        <f t="shared" si="34"/>
        <v>8.045184266891825E-3</v>
      </c>
    </row>
    <row r="322" spans="1:37" ht="22.5" x14ac:dyDescent="0.55000000000000004">
      <c r="A322" s="7" t="s">
        <v>985</v>
      </c>
      <c r="B322" s="25">
        <v>0.57291666666666663</v>
      </c>
      <c r="C322" s="7">
        <v>1451942.09</v>
      </c>
      <c r="D322" s="27">
        <f t="shared" si="26"/>
        <v>2.0827657858624171E-3</v>
      </c>
      <c r="E322" s="7">
        <v>390944.63</v>
      </c>
      <c r="F322" s="27">
        <f t="shared" si="35"/>
        <v>2.0548108826570211E-3</v>
      </c>
      <c r="G322" s="9">
        <v>54850700.975000001</v>
      </c>
      <c r="H322" s="9">
        <v>49606.8</v>
      </c>
      <c r="I322" s="24">
        <f t="shared" si="19"/>
        <v>49.6068</v>
      </c>
      <c r="J322" s="24">
        <f t="shared" si="29"/>
        <v>29.334907888888885</v>
      </c>
      <c r="K322" s="11">
        <v>10564249.545</v>
      </c>
      <c r="L322" s="11">
        <v>3405336.28</v>
      </c>
      <c r="M322" s="11">
        <v>108207.61900000001</v>
      </c>
      <c r="N322" s="13">
        <v>26350</v>
      </c>
      <c r="O322" s="13">
        <f>192+145</f>
        <v>337</v>
      </c>
      <c r="P322" s="13">
        <f>165+193</f>
        <v>358</v>
      </c>
      <c r="Q322" s="13">
        <v>53</v>
      </c>
      <c r="R322" s="23">
        <v>0.81799999999999995</v>
      </c>
      <c r="S322" s="13">
        <v>44</v>
      </c>
      <c r="T322" s="23">
        <v>1.1200000000000001</v>
      </c>
      <c r="U322" s="15" t="s">
        <v>986</v>
      </c>
      <c r="V322" s="15" t="s">
        <v>987</v>
      </c>
      <c r="W322" s="7">
        <v>-261</v>
      </c>
      <c r="X322" s="7"/>
      <c r="Y322" s="7"/>
      <c r="Z322" s="7"/>
      <c r="AA322" s="16">
        <v>279732</v>
      </c>
      <c r="AB322" s="17">
        <f t="shared" si="30"/>
        <v>246.02221697910858</v>
      </c>
      <c r="AC322" s="27">
        <f t="shared" si="15"/>
        <v>9.37488818119947E-4</v>
      </c>
      <c r="AD322" s="19">
        <v>23809</v>
      </c>
      <c r="AE322" s="28">
        <f t="shared" si="31"/>
        <v>2.7578765645230874E-2</v>
      </c>
      <c r="AF322" s="16">
        <v>148840000</v>
      </c>
      <c r="AG322" s="29">
        <f t="shared" si="33"/>
        <v>-4.0295500335796319E-4</v>
      </c>
      <c r="AH322" s="16">
        <v>13737000</v>
      </c>
      <c r="AI322" s="29">
        <f t="shared" si="32"/>
        <v>-4.7815692240816832E-3</v>
      </c>
      <c r="AJ322" s="7">
        <f t="shared" si="34"/>
        <v>1451942.09</v>
      </c>
      <c r="AK322" s="27">
        <f t="shared" si="34"/>
        <v>2.0827657858624171E-3</v>
      </c>
    </row>
    <row r="323" spans="1:37" ht="22.5" x14ac:dyDescent="0.55000000000000004">
      <c r="A323" s="7" t="s">
        <v>988</v>
      </c>
      <c r="B323" s="25">
        <v>0.60416666666666663</v>
      </c>
      <c r="C323" s="7">
        <v>1448468.34</v>
      </c>
      <c r="D323" s="27">
        <f t="shared" si="26"/>
        <v>-2.3924852264597396E-3</v>
      </c>
      <c r="E323" s="7">
        <v>389602.4</v>
      </c>
      <c r="F323" s="27">
        <f t="shared" si="35"/>
        <v>-3.4332994930764693E-3</v>
      </c>
      <c r="G323" s="9">
        <v>54720032.653999999</v>
      </c>
      <c r="H323" s="9">
        <v>24111.571</v>
      </c>
      <c r="I323" s="24">
        <f t="shared" si="19"/>
        <v>24.111571000000001</v>
      </c>
      <c r="J323" s="24">
        <f t="shared" si="29"/>
        <v>28.975094777777777</v>
      </c>
      <c r="K323" s="11">
        <v>10563737.200999999</v>
      </c>
      <c r="L323" s="11">
        <v>3386878.38</v>
      </c>
      <c r="M323" s="11">
        <v>115473.038</v>
      </c>
      <c r="N323" s="13">
        <v>21210</v>
      </c>
      <c r="O323" s="13">
        <f>150+121</f>
        <v>271</v>
      </c>
      <c r="P323" s="13">
        <f>168+234</f>
        <v>402</v>
      </c>
      <c r="Q323" s="13">
        <v>57</v>
      </c>
      <c r="R323" s="23">
        <v>1.2</v>
      </c>
      <c r="S323" s="13">
        <v>53</v>
      </c>
      <c r="T323" s="23">
        <v>1.05</v>
      </c>
      <c r="U323" s="15" t="s">
        <v>989</v>
      </c>
      <c r="V323" s="15" t="s">
        <v>990</v>
      </c>
      <c r="W323" s="7">
        <v>-220</v>
      </c>
      <c r="X323" s="7"/>
      <c r="Y323" s="7"/>
      <c r="Z323" s="7"/>
      <c r="AA323" s="16">
        <v>279973</v>
      </c>
      <c r="AB323" s="17">
        <f t="shared" si="30"/>
        <v>245.27596673607812</v>
      </c>
      <c r="AC323" s="27">
        <f t="shared" si="15"/>
        <v>8.6153890152007584E-4</v>
      </c>
      <c r="AD323" s="19">
        <v>23080</v>
      </c>
      <c r="AE323" s="28">
        <f t="shared" si="31"/>
        <v>-3.0618673610819491E-2</v>
      </c>
      <c r="AF323" s="16">
        <v>148900000</v>
      </c>
      <c r="AG323" s="29">
        <f t="shared" si="33"/>
        <v>4.0311744154797324E-4</v>
      </c>
      <c r="AH323" s="16">
        <v>13732000</v>
      </c>
      <c r="AI323" s="29">
        <f t="shared" si="32"/>
        <v>-3.6398049064567672E-4</v>
      </c>
      <c r="AJ323" s="7">
        <f t="shared" si="34"/>
        <v>1448468.34</v>
      </c>
      <c r="AK323" s="27">
        <f t="shared" si="34"/>
        <v>-2.3924852264597396E-3</v>
      </c>
    </row>
    <row r="324" spans="1:37" ht="22.5" x14ac:dyDescent="0.55000000000000004">
      <c r="A324" s="7" t="s">
        <v>991</v>
      </c>
      <c r="B324" s="25">
        <v>0.5625</v>
      </c>
      <c r="C324" s="7">
        <v>1467100.95</v>
      </c>
      <c r="D324" s="27">
        <f t="shared" si="26"/>
        <v>1.2863663972110029E-2</v>
      </c>
      <c r="E324" s="7">
        <v>395884.88</v>
      </c>
      <c r="F324" s="27">
        <f t="shared" si="35"/>
        <v>1.612536267743736E-2</v>
      </c>
      <c r="G324" s="9">
        <v>55426139.887000002</v>
      </c>
      <c r="H324" s="9">
        <v>38792.078000000001</v>
      </c>
      <c r="I324" s="24">
        <f t="shared" si="19"/>
        <v>38.792078000000004</v>
      </c>
      <c r="J324" s="24">
        <f t="shared" si="29"/>
        <v>30.577683777777779</v>
      </c>
      <c r="K324" s="11">
        <v>10627855.637</v>
      </c>
      <c r="L324" s="11">
        <v>3415653.8149999999</v>
      </c>
      <c r="M324" s="11">
        <v>124726</v>
      </c>
      <c r="N324" s="13">
        <v>32300</v>
      </c>
      <c r="O324" s="13">
        <v>527</v>
      </c>
      <c r="P324" s="13">
        <v>140</v>
      </c>
      <c r="Q324" s="13">
        <v>142</v>
      </c>
      <c r="R324" s="23">
        <v>4.5999999999999996</v>
      </c>
      <c r="S324" s="13">
        <v>37</v>
      </c>
      <c r="T324" s="23">
        <v>0.8</v>
      </c>
      <c r="U324" s="15" t="s">
        <v>992</v>
      </c>
      <c r="V324" s="15" t="s">
        <v>993</v>
      </c>
      <c r="W324" s="7">
        <v>201</v>
      </c>
      <c r="X324" s="7"/>
      <c r="Y324" s="7"/>
      <c r="Z324" s="7"/>
      <c r="AA324" s="16">
        <v>280516</v>
      </c>
      <c r="AB324" s="17">
        <f t="shared" si="30"/>
        <v>247.64950783199532</v>
      </c>
      <c r="AC324" s="27">
        <f t="shared" si="15"/>
        <v>1.9394727348709395E-3</v>
      </c>
      <c r="AD324" s="19">
        <v>24413</v>
      </c>
      <c r="AE324" s="28">
        <f t="shared" si="31"/>
        <v>5.7755632582322303E-2</v>
      </c>
      <c r="AF324" s="16">
        <v>146820000</v>
      </c>
      <c r="AG324" s="29">
        <f t="shared" si="33"/>
        <v>-1.3969106783075835E-2</v>
      </c>
      <c r="AH324" s="16">
        <v>13503000</v>
      </c>
      <c r="AI324" s="29">
        <f t="shared" si="32"/>
        <v>-1.6676376347218191E-2</v>
      </c>
      <c r="AJ324" s="7">
        <f t="shared" si="34"/>
        <v>1467100.95</v>
      </c>
      <c r="AK324" s="27">
        <f t="shared" si="34"/>
        <v>1.2863663972110029E-2</v>
      </c>
    </row>
    <row r="325" spans="1:37" ht="22.5" x14ac:dyDescent="0.55000000000000004">
      <c r="A325" s="7" t="s">
        <v>994</v>
      </c>
      <c r="B325" s="25">
        <v>0.60416666666666663</v>
      </c>
      <c r="C325" s="7">
        <v>1463652.74</v>
      </c>
      <c r="D325" s="27">
        <f t="shared" si="26"/>
        <v>-2.3503563268771899E-3</v>
      </c>
      <c r="E325" s="7">
        <v>395447.33</v>
      </c>
      <c r="F325" s="27">
        <f t="shared" si="35"/>
        <v>-1.1052455451190379E-3</v>
      </c>
      <c r="G325" s="9">
        <v>55295706.254000001</v>
      </c>
      <c r="H325" s="9">
        <v>38320.158000000003</v>
      </c>
      <c r="I325" s="24">
        <f t="shared" si="19"/>
        <v>38.320158000000006</v>
      </c>
      <c r="J325" s="24">
        <f t="shared" si="29"/>
        <v>31.990981555555557</v>
      </c>
      <c r="K325" s="11">
        <v>10593055.726</v>
      </c>
      <c r="L325" s="11">
        <v>3400110.4240000001</v>
      </c>
      <c r="M325" s="11">
        <v>111092.72900000001</v>
      </c>
      <c r="N325" s="13">
        <v>34310</v>
      </c>
      <c r="O325" s="13">
        <f>126+146</f>
        <v>272</v>
      </c>
      <c r="P325" s="13">
        <f>178+252</f>
        <v>430</v>
      </c>
      <c r="Q325" s="13">
        <v>49</v>
      </c>
      <c r="R325" s="23">
        <v>1.35</v>
      </c>
      <c r="S325" s="13">
        <v>54</v>
      </c>
      <c r="T325" s="23">
        <v>1.41</v>
      </c>
      <c r="U325" s="15" t="s">
        <v>995</v>
      </c>
      <c r="V325" s="15" t="s">
        <v>996</v>
      </c>
      <c r="W325" s="7">
        <v>-233</v>
      </c>
      <c r="X325" s="7"/>
      <c r="Y325" s="7"/>
      <c r="Z325" s="7"/>
      <c r="AA325" s="16">
        <v>280784</v>
      </c>
      <c r="AB325" s="17">
        <f t="shared" si="30"/>
        <v>246.76930453302182</v>
      </c>
      <c r="AC325" s="27">
        <f t="shared" si="15"/>
        <v>9.5538222418678487E-4</v>
      </c>
      <c r="AD325" s="19">
        <v>24756</v>
      </c>
      <c r="AE325" s="28">
        <f t="shared" si="31"/>
        <v>1.4049891451275887E-2</v>
      </c>
      <c r="AF325" s="16">
        <v>141490000</v>
      </c>
      <c r="AG325" s="29">
        <f t="shared" si="33"/>
        <v>-3.6302956000544895E-2</v>
      </c>
      <c r="AH325" s="16">
        <v>13222000</v>
      </c>
      <c r="AI325" s="29">
        <f t="shared" si="32"/>
        <v>-2.0810190328075295E-2</v>
      </c>
      <c r="AJ325" s="7">
        <f t="shared" si="34"/>
        <v>1463652.74</v>
      </c>
      <c r="AK325" s="27">
        <f t="shared" si="34"/>
        <v>-2.3503563268771899E-3</v>
      </c>
    </row>
    <row r="326" spans="1:37" ht="22.5" x14ac:dyDescent="0.55000000000000004">
      <c r="A326" s="7" t="s">
        <v>997</v>
      </c>
      <c r="B326" s="25">
        <v>0.58333333333333337</v>
      </c>
      <c r="C326" s="7">
        <v>1463699.35</v>
      </c>
      <c r="D326" s="27">
        <f t="shared" si="26"/>
        <v>3.184498530717228E-5</v>
      </c>
      <c r="E326" s="7">
        <v>397236.88</v>
      </c>
      <c r="F326" s="27">
        <f t="shared" si="35"/>
        <v>4.5253814205801213E-3</v>
      </c>
      <c r="G326" s="9">
        <v>55297972.045999996</v>
      </c>
      <c r="H326" s="9">
        <v>35046.345999999998</v>
      </c>
      <c r="I326" s="24">
        <f t="shared" ref="I326:I397" si="36">H326/1000</f>
        <v>35.046346</v>
      </c>
      <c r="J326" s="24">
        <f t="shared" si="29"/>
        <v>31.904268999999999</v>
      </c>
      <c r="K326" s="11">
        <v>10583197.057</v>
      </c>
      <c r="L326" s="11">
        <v>3437065.4169999999</v>
      </c>
      <c r="M326" s="11">
        <v>1592100.1529999999</v>
      </c>
      <c r="N326" s="13">
        <v>36580</v>
      </c>
      <c r="O326" s="13">
        <f>184+225</f>
        <v>409</v>
      </c>
      <c r="P326" s="13">
        <f>158+171</f>
        <v>329</v>
      </c>
      <c r="Q326" s="13">
        <v>80</v>
      </c>
      <c r="R326" s="23">
        <v>1.95</v>
      </c>
      <c r="S326" s="13">
        <v>38</v>
      </c>
      <c r="T326" s="23">
        <v>0.89</v>
      </c>
      <c r="U326" s="15" t="s">
        <v>998</v>
      </c>
      <c r="V326" s="15" t="s">
        <v>999</v>
      </c>
      <c r="W326" s="7">
        <v>-18</v>
      </c>
      <c r="X326" s="7"/>
      <c r="Y326" s="7"/>
      <c r="Z326" s="7"/>
      <c r="AA326" s="16">
        <v>280881</v>
      </c>
      <c r="AB326" s="17">
        <f t="shared" si="30"/>
        <v>246.78862051900981</v>
      </c>
      <c r="AC326" s="27">
        <f t="shared" si="15"/>
        <v>3.4546127984502739E-4</v>
      </c>
      <c r="AD326" s="19">
        <v>24053</v>
      </c>
      <c r="AE326" s="28">
        <f t="shared" si="31"/>
        <v>-2.8397156244950761E-2</v>
      </c>
      <c r="AF326" s="16">
        <v>139750000</v>
      </c>
      <c r="AG326" s="29">
        <f t="shared" si="33"/>
        <v>-1.2297688882606517E-2</v>
      </c>
      <c r="AH326" s="16">
        <v>13007000</v>
      </c>
      <c r="AI326" s="29">
        <f t="shared" si="32"/>
        <v>-1.6260777492058676E-2</v>
      </c>
      <c r="AJ326" s="7">
        <f t="shared" si="34"/>
        <v>1463699.35</v>
      </c>
      <c r="AK326" s="27">
        <f t="shared" si="34"/>
        <v>3.184498530717228E-5</v>
      </c>
    </row>
    <row r="327" spans="1:37" ht="22.5" x14ac:dyDescent="0.55000000000000004">
      <c r="A327" s="7" t="s">
        <v>1000</v>
      </c>
      <c r="B327" s="25">
        <v>0.60416666666666663</v>
      </c>
      <c r="C327" s="7">
        <v>1459507.25</v>
      </c>
      <c r="D327" s="27">
        <f t="shared" si="26"/>
        <v>-2.8640444501120133E-3</v>
      </c>
      <c r="E327" s="7">
        <v>398623.91</v>
      </c>
      <c r="F327" s="27">
        <f t="shared" si="35"/>
        <v>3.4916949302390421E-3</v>
      </c>
      <c r="G327" s="9">
        <v>55135953.502999999</v>
      </c>
      <c r="H327" s="9">
        <v>39456.743000000002</v>
      </c>
      <c r="I327" s="24">
        <f t="shared" si="36"/>
        <v>39.456743000000003</v>
      </c>
      <c r="J327" s="24">
        <f t="shared" si="29"/>
        <v>34.067442777777785</v>
      </c>
      <c r="K327" s="11">
        <v>10537681.997</v>
      </c>
      <c r="L327" s="11">
        <v>3388198.023</v>
      </c>
      <c r="M327" s="11">
        <v>160588.269</v>
      </c>
      <c r="N327" s="13">
        <v>38990</v>
      </c>
      <c r="O327" s="13">
        <f>178+142</f>
        <v>320</v>
      </c>
      <c r="P327" s="13">
        <f>158+217</f>
        <v>375</v>
      </c>
      <c r="Q327" s="13">
        <v>74</v>
      </c>
      <c r="R327" s="23">
        <v>1.2</v>
      </c>
      <c r="S327" s="13">
        <v>42</v>
      </c>
      <c r="T327" s="23">
        <v>0.71699999999999997</v>
      </c>
      <c r="U327" s="15" t="s">
        <v>1001</v>
      </c>
      <c r="V327" s="15" t="s">
        <v>1002</v>
      </c>
      <c r="W327" s="7">
        <v>-125</v>
      </c>
      <c r="X327" s="7"/>
      <c r="Y327" s="7"/>
      <c r="Z327" s="7"/>
      <c r="AA327" s="16">
        <v>280707</v>
      </c>
      <c r="AB327" s="17">
        <f t="shared" si="30"/>
        <v>246.02818427399387</v>
      </c>
      <c r="AC327" s="27">
        <f t="shared" si="15"/>
        <v>-6.1947942367057696E-4</v>
      </c>
      <c r="AD327" s="19">
        <v>24069</v>
      </c>
      <c r="AE327" s="28">
        <f t="shared" si="31"/>
        <v>6.6519768843797955E-4</v>
      </c>
      <c r="AF327" s="16">
        <v>140950000</v>
      </c>
      <c r="AG327" s="29">
        <f t="shared" si="33"/>
        <v>8.5867620751340912E-3</v>
      </c>
      <c r="AH327" s="16">
        <v>13053000</v>
      </c>
      <c r="AI327" s="29">
        <f t="shared" si="32"/>
        <v>3.5365572384100652E-3</v>
      </c>
      <c r="AJ327" s="7">
        <f t="shared" si="34"/>
        <v>1459507.25</v>
      </c>
      <c r="AK327" s="27">
        <f t="shared" si="34"/>
        <v>-2.8640444501120133E-3</v>
      </c>
    </row>
    <row r="328" spans="1:37" ht="22.5" x14ac:dyDescent="0.55000000000000004">
      <c r="A328" s="7" t="s">
        <v>1003</v>
      </c>
      <c r="B328" s="25">
        <v>0.59375</v>
      </c>
      <c r="C328" s="7">
        <v>1451395.53</v>
      </c>
      <c r="D328" s="27">
        <f t="shared" si="26"/>
        <v>-5.5578483765668096E-3</v>
      </c>
      <c r="E328" s="7">
        <v>399075.97</v>
      </c>
      <c r="F328" s="27">
        <f t="shared" si="35"/>
        <v>1.1340513919497752E-3</v>
      </c>
      <c r="G328" s="9">
        <v>54824367.961000003</v>
      </c>
      <c r="H328" s="9">
        <v>43495.485999999997</v>
      </c>
      <c r="I328" s="24">
        <f t="shared" si="36"/>
        <v>43.495486</v>
      </c>
      <c r="J328" s="24">
        <f t="shared" si="29"/>
        <v>36.517416222222224</v>
      </c>
      <c r="K328" s="11">
        <v>10504755.631999999</v>
      </c>
      <c r="L328" s="11">
        <v>3388587.5249999999</v>
      </c>
      <c r="M328" s="11">
        <v>87262.983999999997</v>
      </c>
      <c r="N328" s="13">
        <v>3815</v>
      </c>
      <c r="O328" s="13">
        <f>185+143</f>
        <v>328</v>
      </c>
      <c r="P328" s="13">
        <f>138+213</f>
        <v>351</v>
      </c>
      <c r="Q328" s="13">
        <v>83</v>
      </c>
      <c r="R328" s="23">
        <v>1.3</v>
      </c>
      <c r="S328" s="13">
        <v>40</v>
      </c>
      <c r="T328" s="23">
        <v>0.75</v>
      </c>
      <c r="U328" s="15" t="s">
        <v>1004</v>
      </c>
      <c r="V328" s="15" t="s">
        <v>1005</v>
      </c>
      <c r="W328" s="7">
        <v>-180</v>
      </c>
      <c r="X328" s="7"/>
      <c r="Y328" s="7"/>
      <c r="Z328" s="7"/>
      <c r="AA328" s="16">
        <v>280626</v>
      </c>
      <c r="AB328" s="17">
        <f t="shared" si="30"/>
        <v>244.87293094011247</v>
      </c>
      <c r="AC328" s="27">
        <f t="shared" si="15"/>
        <v>-2.8855710758901587E-4</v>
      </c>
      <c r="AD328" s="19">
        <v>23821</v>
      </c>
      <c r="AE328" s="28">
        <f t="shared" si="31"/>
        <v>-1.0303710166604363E-2</v>
      </c>
      <c r="AF328" s="16">
        <v>136310000</v>
      </c>
      <c r="AG328" s="29">
        <f t="shared" si="33"/>
        <v>-3.291947499113157E-2</v>
      </c>
      <c r="AH328" s="16">
        <v>12751000</v>
      </c>
      <c r="AI328" s="29">
        <f t="shared" si="32"/>
        <v>-2.3136443729410816E-2</v>
      </c>
      <c r="AJ328" s="7">
        <f t="shared" si="34"/>
        <v>1451395.53</v>
      </c>
      <c r="AK328" s="27">
        <f t="shared" si="34"/>
        <v>-5.5578483765668096E-3</v>
      </c>
    </row>
    <row r="329" spans="1:37" ht="22.5" x14ac:dyDescent="0.55000000000000004">
      <c r="A329" s="7" t="s">
        <v>1006</v>
      </c>
      <c r="B329" s="25">
        <v>0.54166666666666663</v>
      </c>
      <c r="C329" s="7">
        <v>1438811.21</v>
      </c>
      <c r="D329" s="27">
        <f t="shared" si="26"/>
        <v>-8.6704965944053303E-3</v>
      </c>
      <c r="E329" s="7">
        <v>397410.34</v>
      </c>
      <c r="F329" s="27">
        <f t="shared" si="35"/>
        <v>-4.1737165983708469E-3</v>
      </c>
      <c r="G329" s="9">
        <v>54343194.597000003</v>
      </c>
      <c r="H329" s="9">
        <v>32328.720000000001</v>
      </c>
      <c r="I329" s="24">
        <f t="shared" si="36"/>
        <v>32.328720000000004</v>
      </c>
      <c r="J329" s="24">
        <f t="shared" si="29"/>
        <v>36.709888777777778</v>
      </c>
      <c r="K329" s="11">
        <v>10489550.927999999</v>
      </c>
      <c r="L329" s="11">
        <v>3374770.78</v>
      </c>
      <c r="M329" s="11">
        <v>156107</v>
      </c>
      <c r="N329" s="13">
        <v>3007</v>
      </c>
      <c r="O329" s="13">
        <v>263</v>
      </c>
      <c r="P329" s="13">
        <v>376</v>
      </c>
      <c r="Q329" s="13">
        <v>69</v>
      </c>
      <c r="R329" s="23">
        <v>1.06</v>
      </c>
      <c r="S329" s="13">
        <v>65</v>
      </c>
      <c r="T329" s="23">
        <v>1.2</v>
      </c>
      <c r="U329" s="15" t="s">
        <v>1007</v>
      </c>
      <c r="V329" s="15" t="s">
        <v>1008</v>
      </c>
      <c r="W329" s="7">
        <v>-305</v>
      </c>
      <c r="X329" s="7"/>
      <c r="Y329" s="7"/>
      <c r="Z329" s="7"/>
      <c r="AA329" s="16">
        <v>280375</v>
      </c>
      <c r="AB329" s="17">
        <f t="shared" si="30"/>
        <v>243.27246118591174</v>
      </c>
      <c r="AC329" s="27">
        <f t="shared" si="15"/>
        <v>-8.944288839950465E-4</v>
      </c>
      <c r="AD329" s="19">
        <v>21231</v>
      </c>
      <c r="AE329" s="28">
        <f t="shared" si="31"/>
        <v>-0.10872759330002935</v>
      </c>
      <c r="AF329" s="16">
        <v>131740000</v>
      </c>
      <c r="AG329" s="29">
        <f t="shared" si="33"/>
        <v>-3.3526520431369722E-2</v>
      </c>
      <c r="AH329" s="16">
        <v>12206000</v>
      </c>
      <c r="AI329" s="29">
        <f t="shared" si="32"/>
        <v>-4.274174574543177E-2</v>
      </c>
      <c r="AJ329" s="7">
        <f t="shared" si="34"/>
        <v>1438811.21</v>
      </c>
      <c r="AK329" s="27">
        <f t="shared" si="34"/>
        <v>-8.6704965944053303E-3</v>
      </c>
    </row>
    <row r="330" spans="1:37" ht="22.5" x14ac:dyDescent="0.55000000000000004">
      <c r="A330" s="7" t="s">
        <v>1009</v>
      </c>
      <c r="B330" s="25">
        <v>0.5625</v>
      </c>
      <c r="C330" s="7">
        <v>1429898.36</v>
      </c>
      <c r="D330" s="27">
        <f t="shared" si="26"/>
        <v>-6.1945931044002922E-3</v>
      </c>
      <c r="E330" s="7">
        <v>396524</v>
      </c>
      <c r="F330" s="27">
        <f t="shared" si="35"/>
        <v>-2.2302892269990826E-3</v>
      </c>
      <c r="G330" s="9">
        <v>54005461.077</v>
      </c>
      <c r="H330" s="9">
        <v>29633.038</v>
      </c>
      <c r="I330" s="24">
        <f t="shared" si="36"/>
        <v>29.633037999999999</v>
      </c>
      <c r="J330" s="24">
        <f t="shared" si="29"/>
        <v>36.754548888888891</v>
      </c>
      <c r="K330" s="11">
        <v>10458698.691</v>
      </c>
      <c r="L330" s="11">
        <v>3369840.9849999999</v>
      </c>
      <c r="M330" s="11">
        <v>127665.079</v>
      </c>
      <c r="N330" s="13">
        <v>2769</v>
      </c>
      <c r="O330" s="13">
        <f>152+120</f>
        <v>272</v>
      </c>
      <c r="P330" s="13">
        <f>166+235</f>
        <v>401</v>
      </c>
      <c r="Q330" s="13">
        <v>73</v>
      </c>
      <c r="R330" s="23">
        <v>1.6</v>
      </c>
      <c r="S330" s="13">
        <v>45</v>
      </c>
      <c r="T330" s="23">
        <v>1.19</v>
      </c>
      <c r="U330" s="15" t="s">
        <v>1010</v>
      </c>
      <c r="V330" s="15" t="s">
        <v>1011</v>
      </c>
      <c r="W330" s="7">
        <v>-298</v>
      </c>
      <c r="X330" s="7"/>
      <c r="Y330" s="7"/>
      <c r="Z330" s="7"/>
      <c r="AA330" s="16">
        <v>269348</v>
      </c>
      <c r="AB330" s="17">
        <f t="shared" si="30"/>
        <v>251.8451993443426</v>
      </c>
      <c r="AC330" s="27">
        <f t="shared" si="15"/>
        <v>-3.9329469460543942E-2</v>
      </c>
      <c r="AD330" s="19">
        <v>21327</v>
      </c>
      <c r="AE330" s="28">
        <f t="shared" si="31"/>
        <v>4.5216899816307166E-3</v>
      </c>
      <c r="AF330" s="16">
        <v>133450000</v>
      </c>
      <c r="AG330" s="29">
        <f t="shared" si="33"/>
        <v>1.2980112342492856E-2</v>
      </c>
      <c r="AH330" s="16">
        <v>12361000</v>
      </c>
      <c r="AI330" s="29">
        <f t="shared" si="32"/>
        <v>1.2698672783876708E-2</v>
      </c>
      <c r="AJ330" s="7">
        <f t="shared" si="34"/>
        <v>1429898.36</v>
      </c>
      <c r="AK330" s="27">
        <f t="shared" si="34"/>
        <v>-6.1945931044002922E-3</v>
      </c>
    </row>
    <row r="331" spans="1:37" ht="22.5" x14ac:dyDescent="0.55000000000000004">
      <c r="A331" s="7" t="s">
        <v>1012</v>
      </c>
      <c r="B331" s="25">
        <v>0.60416666666666663</v>
      </c>
      <c r="C331" s="7">
        <v>1424489.04</v>
      </c>
      <c r="D331" s="27">
        <f t="shared" si="26"/>
        <v>-3.7830101434622732E-3</v>
      </c>
      <c r="E331" s="7">
        <v>397296.28</v>
      </c>
      <c r="F331" s="27">
        <f t="shared" si="35"/>
        <v>1.9476248600338586E-3</v>
      </c>
      <c r="G331" s="9">
        <v>53754893.170000002</v>
      </c>
      <c r="H331" s="9">
        <v>30631.669000000002</v>
      </c>
      <c r="I331" s="24">
        <f t="shared" si="36"/>
        <v>30.631669000000002</v>
      </c>
      <c r="J331" s="24">
        <f t="shared" si="29"/>
        <v>34.646200999999998</v>
      </c>
      <c r="K331" s="11">
        <v>10473179.369999999</v>
      </c>
      <c r="L331" s="11">
        <v>3378779.4019999998</v>
      </c>
      <c r="M331" s="11">
        <v>1419066.172</v>
      </c>
      <c r="N331" s="13">
        <v>2997</v>
      </c>
      <c r="O331" s="13">
        <v>360</v>
      </c>
      <c r="P331" s="13">
        <v>382</v>
      </c>
      <c r="Q331" s="13">
        <v>88</v>
      </c>
      <c r="R331" s="23">
        <v>2.8</v>
      </c>
      <c r="S331" s="13">
        <v>45</v>
      </c>
      <c r="T331" s="23">
        <v>0.9</v>
      </c>
      <c r="U331" s="15" t="s">
        <v>1013</v>
      </c>
      <c r="V331" s="15" t="s">
        <v>1014</v>
      </c>
      <c r="W331" s="7">
        <v>-239</v>
      </c>
      <c r="X331" s="7"/>
      <c r="Y331" s="7"/>
      <c r="Z331" s="7"/>
      <c r="AA331" s="16">
        <v>280898</v>
      </c>
      <c r="AB331" s="17">
        <f t="shared" si="30"/>
        <v>240.68114383868877</v>
      </c>
      <c r="AC331" s="27">
        <f t="shared" si="15"/>
        <v>4.2881328244501526E-2</v>
      </c>
      <c r="AD331" s="19">
        <v>21184</v>
      </c>
      <c r="AE331" s="28">
        <f t="shared" si="31"/>
        <v>-6.7051155811881369E-3</v>
      </c>
      <c r="AF331" s="16">
        <v>139040000</v>
      </c>
      <c r="AG331" s="29">
        <f t="shared" si="33"/>
        <v>4.1888347695766104E-2</v>
      </c>
      <c r="AH331" s="16">
        <v>12615000</v>
      </c>
      <c r="AI331" s="29">
        <f t="shared" si="32"/>
        <v>2.0548499312353474E-2</v>
      </c>
      <c r="AJ331" s="7">
        <f t="shared" si="34"/>
        <v>1424489.04</v>
      </c>
      <c r="AK331" s="27">
        <f t="shared" si="34"/>
        <v>-3.7830101434622732E-3</v>
      </c>
    </row>
    <row r="332" spans="1:37" ht="22.5" x14ac:dyDescent="0.55000000000000004">
      <c r="A332" s="7" t="s">
        <v>1015</v>
      </c>
      <c r="B332" s="25">
        <v>0.5625</v>
      </c>
      <c r="C332" s="7">
        <v>1431477</v>
      </c>
      <c r="D332" s="27">
        <f t="shared" si="26"/>
        <v>4.9055905688120127E-3</v>
      </c>
      <c r="E332" s="7">
        <v>402327.25</v>
      </c>
      <c r="F332" s="27">
        <f t="shared" si="35"/>
        <v>1.2663018138503457E-2</v>
      </c>
      <c r="G332" s="9">
        <v>53840150.542999998</v>
      </c>
      <c r="H332" s="9">
        <v>38278.836000000003</v>
      </c>
      <c r="I332" s="24">
        <f t="shared" si="36"/>
        <v>38.278836000000005</v>
      </c>
      <c r="J332" s="24">
        <f t="shared" si="29"/>
        <v>36.220341555555564</v>
      </c>
      <c r="K332" s="11">
        <v>10558897.950999999</v>
      </c>
      <c r="L332" s="11">
        <v>3397049.5460000001</v>
      </c>
      <c r="M332" s="11">
        <v>58900.347000000002</v>
      </c>
      <c r="N332" s="13">
        <v>3226</v>
      </c>
      <c r="O332" s="13">
        <f>205+322</f>
        <v>527</v>
      </c>
      <c r="P332" s="13">
        <f>77+74</f>
        <v>151</v>
      </c>
      <c r="Q332" s="13">
        <v>161</v>
      </c>
      <c r="R332" s="23">
        <v>3.6</v>
      </c>
      <c r="S332" s="13">
        <v>26</v>
      </c>
      <c r="T332" s="23">
        <v>0.56999999999999995</v>
      </c>
      <c r="U332" s="15" t="s">
        <v>1016</v>
      </c>
      <c r="V332" s="15" t="s">
        <v>1017</v>
      </c>
      <c r="W332" s="7">
        <v>94</v>
      </c>
      <c r="X332" s="7"/>
      <c r="Y332" s="7"/>
      <c r="Z332" s="7"/>
      <c r="AA332" s="16">
        <v>279390</v>
      </c>
      <c r="AB332" s="17">
        <f t="shared" si="30"/>
        <v>242.65756841690825</v>
      </c>
      <c r="AC332" s="27">
        <f t="shared" si="15"/>
        <v>-5.3684967497098501E-3</v>
      </c>
      <c r="AD332" s="19">
        <v>21469</v>
      </c>
      <c r="AE332" s="28">
        <f t="shared" si="31"/>
        <v>1.3453549848942536E-2</v>
      </c>
      <c r="AF332" s="16">
        <v>137780000</v>
      </c>
      <c r="AG332" s="29">
        <f t="shared" si="33"/>
        <v>-9.062140391254303E-3</v>
      </c>
      <c r="AH332" s="16">
        <v>12485000</v>
      </c>
      <c r="AI332" s="29">
        <f t="shared" si="32"/>
        <v>-1.0305192231470417E-2</v>
      </c>
      <c r="AJ332" s="7">
        <f t="shared" si="34"/>
        <v>1431477</v>
      </c>
      <c r="AK332" s="27">
        <f t="shared" si="34"/>
        <v>4.9055905688120127E-3</v>
      </c>
    </row>
    <row r="333" spans="1:37" ht="22.5" x14ac:dyDescent="0.55000000000000004">
      <c r="A333" s="7" t="s">
        <v>1018</v>
      </c>
      <c r="B333" s="25"/>
      <c r="C333" s="7">
        <v>1442401.74</v>
      </c>
      <c r="D333" s="27">
        <f t="shared" si="26"/>
        <v>7.6317956907445694E-3</v>
      </c>
      <c r="E333" s="7">
        <v>408251.04</v>
      </c>
      <c r="F333" s="27">
        <f t="shared" si="35"/>
        <v>1.4723810032753137E-2</v>
      </c>
      <c r="G333" s="9">
        <v>54283044.513999999</v>
      </c>
      <c r="H333" s="9">
        <v>41502.654999999999</v>
      </c>
      <c r="I333" s="24">
        <f t="shared" si="36"/>
        <v>41.502654999999997</v>
      </c>
      <c r="J333" s="24">
        <f t="shared" si="29"/>
        <v>36.521516777777784</v>
      </c>
      <c r="K333" s="11">
        <v>10658770.567</v>
      </c>
      <c r="L333" s="11">
        <v>3423065.4130000002</v>
      </c>
      <c r="M333" s="11">
        <v>53299.197999999997</v>
      </c>
      <c r="N333" s="13">
        <v>4004</v>
      </c>
      <c r="O333" s="13"/>
      <c r="P333" s="13"/>
      <c r="Q333" s="13"/>
      <c r="R333" s="23"/>
      <c r="S333" s="13"/>
      <c r="T333" s="23"/>
      <c r="U333" s="15"/>
      <c r="V333" s="15"/>
      <c r="W333" s="7"/>
      <c r="X333" s="7"/>
      <c r="Y333" s="7"/>
      <c r="Z333" s="7"/>
      <c r="AA333" s="16">
        <v>276375</v>
      </c>
      <c r="AB333" s="17">
        <f t="shared" si="30"/>
        <v>247.36275167435551</v>
      </c>
      <c r="AC333" s="27">
        <f t="shared" si="15"/>
        <v>-1.0791366906474864E-2</v>
      </c>
      <c r="AD333" s="19">
        <v>21476</v>
      </c>
      <c r="AE333" s="28">
        <f t="shared" si="31"/>
        <v>3.2605151613962491E-4</v>
      </c>
      <c r="AF333" s="16">
        <v>135490000</v>
      </c>
      <c r="AG333" s="29">
        <f t="shared" si="33"/>
        <v>-1.6620699666134442E-2</v>
      </c>
      <c r="AH333" s="16">
        <v>12384000</v>
      </c>
      <c r="AI333" s="29">
        <f t="shared" si="32"/>
        <v>-8.0897076491790454E-3</v>
      </c>
      <c r="AJ333" s="7">
        <f t="shared" si="34"/>
        <v>1442401.74</v>
      </c>
      <c r="AK333" s="27">
        <f t="shared" si="34"/>
        <v>7.6317956907445694E-3</v>
      </c>
    </row>
    <row r="334" spans="1:37" ht="22.5" x14ac:dyDescent="0.55000000000000004">
      <c r="A334" s="7" t="s">
        <v>1019</v>
      </c>
      <c r="B334" s="25">
        <v>0.60416666666666663</v>
      </c>
      <c r="C334" s="7">
        <v>1450046.74</v>
      </c>
      <c r="D334" s="27">
        <f t="shared" si="26"/>
        <v>5.3001877271723341E-3</v>
      </c>
      <c r="E334" s="7">
        <v>410327.8</v>
      </c>
      <c r="F334" s="27">
        <f t="shared" si="35"/>
        <v>5.0869680576930421E-3</v>
      </c>
      <c r="G334" s="9">
        <v>54570922.211000003</v>
      </c>
      <c r="H334" s="9">
        <v>42724.224000000002</v>
      </c>
      <c r="I334" s="24">
        <f t="shared" si="36"/>
        <v>42.724224</v>
      </c>
      <c r="J334" s="24">
        <f t="shared" si="29"/>
        <v>37.01085744444444</v>
      </c>
      <c r="K334" s="11">
        <v>10695581.239</v>
      </c>
      <c r="L334" s="11">
        <v>3444079.6639999999</v>
      </c>
      <c r="M334" s="11">
        <v>36907.326000000001</v>
      </c>
      <c r="N334" s="13">
        <v>4057</v>
      </c>
      <c r="O334" s="13">
        <f>196+143</f>
        <v>339</v>
      </c>
      <c r="P334" s="13">
        <f>120+193</f>
        <v>313</v>
      </c>
      <c r="Q334" s="13">
        <v>68</v>
      </c>
      <c r="R334" s="23">
        <v>2.0099999999999998</v>
      </c>
      <c r="S334" s="13">
        <v>40</v>
      </c>
      <c r="T334" s="23">
        <v>0.94199999999999995</v>
      </c>
      <c r="U334" s="15" t="s">
        <v>1020</v>
      </c>
      <c r="V334" s="15" t="s">
        <v>1021</v>
      </c>
      <c r="W334" s="7">
        <v>-152</v>
      </c>
      <c r="X334" s="7"/>
      <c r="Y334" s="7"/>
      <c r="Z334" s="7"/>
      <c r="AA334" s="16">
        <v>281400</v>
      </c>
      <c r="AB334" s="17">
        <f t="shared" si="30"/>
        <v>244.17406934612654</v>
      </c>
      <c r="AC334" s="27">
        <f t="shared" si="15"/>
        <v>1.8181818181818077E-2</v>
      </c>
      <c r="AD334" s="19">
        <v>20178</v>
      </c>
      <c r="AE334" s="28">
        <f t="shared" si="31"/>
        <v>-6.0439560439560447E-2</v>
      </c>
      <c r="AF334" s="16">
        <v>140160000</v>
      </c>
      <c r="AG334" s="27">
        <f t="shared" si="33"/>
        <v>3.4467488375525823E-2</v>
      </c>
      <c r="AH334" s="16">
        <v>12776000</v>
      </c>
      <c r="AI334" s="29">
        <f t="shared" si="32"/>
        <v>3.1653746770025748E-2</v>
      </c>
      <c r="AJ334" s="7">
        <f t="shared" si="34"/>
        <v>1450046.74</v>
      </c>
      <c r="AK334" s="27">
        <f t="shared" si="34"/>
        <v>5.3001877271723341E-3</v>
      </c>
    </row>
    <row r="335" spans="1:37" ht="22.5" x14ac:dyDescent="0.55000000000000004">
      <c r="A335" s="7" t="s">
        <v>1022</v>
      </c>
      <c r="B335" s="25">
        <v>0.66666666666666663</v>
      </c>
      <c r="C335" s="7">
        <v>1444095.82</v>
      </c>
      <c r="D335" s="27">
        <f t="shared" si="26"/>
        <v>-4.1039504698999751E-3</v>
      </c>
      <c r="E335" s="7">
        <v>408555.77</v>
      </c>
      <c r="F335" s="27">
        <f t="shared" si="35"/>
        <v>-4.3185716395525153E-3</v>
      </c>
      <c r="G335" s="9">
        <v>54342954.052000001</v>
      </c>
      <c r="H335" s="9">
        <v>31922.29</v>
      </c>
      <c r="I335" s="24">
        <f t="shared" si="36"/>
        <v>31.92229</v>
      </c>
      <c r="J335" s="24">
        <f t="shared" si="29"/>
        <v>36.66374011111111</v>
      </c>
      <c r="K335" s="11">
        <v>10650280.800000001</v>
      </c>
      <c r="L335" s="11">
        <v>3448687.9670000002</v>
      </c>
      <c r="M335" s="11">
        <v>45264.828000000001</v>
      </c>
      <c r="N335" s="13">
        <v>3315</v>
      </c>
      <c r="O335" s="13">
        <f>142+120</f>
        <v>262</v>
      </c>
      <c r="P335" s="13">
        <f>160+250</f>
        <v>410</v>
      </c>
      <c r="Q335" s="13">
        <v>64</v>
      </c>
      <c r="R335" s="23">
        <v>1.52</v>
      </c>
      <c r="S335" s="13">
        <v>43</v>
      </c>
      <c r="T335" s="23">
        <v>1.57</v>
      </c>
      <c r="U335" s="15" t="s">
        <v>1023</v>
      </c>
      <c r="V335" s="15" t="s">
        <v>1024</v>
      </c>
      <c r="W335" s="7">
        <v>-230</v>
      </c>
      <c r="X335" s="7"/>
      <c r="Y335" s="7"/>
      <c r="Z335" s="7"/>
      <c r="AA335" s="16">
        <v>282606</v>
      </c>
      <c r="AB335" s="17">
        <f t="shared" si="30"/>
        <v>242.18142155155942</v>
      </c>
      <c r="AC335" s="27">
        <f t="shared" si="15"/>
        <v>4.2857142857142261E-3</v>
      </c>
      <c r="AD335" s="19">
        <v>19996</v>
      </c>
      <c r="AE335" s="28">
        <f t="shared" si="31"/>
        <v>-9.0197244523738673E-3</v>
      </c>
      <c r="AF335" s="16">
        <v>138730000</v>
      </c>
      <c r="AG335" s="27">
        <f t="shared" si="33"/>
        <v>-1.0202625570776225E-2</v>
      </c>
      <c r="AH335" s="16">
        <v>12688000</v>
      </c>
      <c r="AI335" s="29">
        <f t="shared" si="32"/>
        <v>-6.8879148403255819E-3</v>
      </c>
      <c r="AJ335" s="7">
        <f t="shared" si="34"/>
        <v>1444095.82</v>
      </c>
      <c r="AK335" s="27">
        <f t="shared" si="34"/>
        <v>-4.1039504698999751E-3</v>
      </c>
    </row>
    <row r="336" spans="1:37" ht="22.5" x14ac:dyDescent="0.55000000000000004">
      <c r="A336" s="7" t="s">
        <v>1025</v>
      </c>
      <c r="B336" s="25">
        <v>0.66666666666666663</v>
      </c>
      <c r="C336" s="7">
        <v>1445137.02</v>
      </c>
      <c r="D336" s="27">
        <f t="shared" si="26"/>
        <v>7.2100478761849551E-4</v>
      </c>
      <c r="E336" s="7">
        <v>410633.34</v>
      </c>
      <c r="F336" s="27">
        <f t="shared" si="35"/>
        <v>5.085156427970583E-3</v>
      </c>
      <c r="G336" s="9">
        <v>54384920.707999997</v>
      </c>
      <c r="H336" s="9">
        <v>34617.131999999998</v>
      </c>
      <c r="I336" s="24">
        <f t="shared" si="36"/>
        <v>34.617131999999998</v>
      </c>
      <c r="J336" s="24">
        <f t="shared" si="29"/>
        <v>36.126005555555558</v>
      </c>
      <c r="K336" s="11">
        <v>10654701.141000001</v>
      </c>
      <c r="L336" s="11">
        <v>3450979.3489999999</v>
      </c>
      <c r="M336" s="11">
        <v>1419822.578</v>
      </c>
      <c r="N336" s="13">
        <v>3319</v>
      </c>
      <c r="O336" s="13">
        <f>226+200</f>
        <v>426</v>
      </c>
      <c r="P336" s="13">
        <f>159+159</f>
        <v>318</v>
      </c>
      <c r="Q336" s="13">
        <v>82</v>
      </c>
      <c r="R336" s="23">
        <v>1.9</v>
      </c>
      <c r="S336" s="13">
        <v>26</v>
      </c>
      <c r="T336" s="23">
        <v>1.2</v>
      </c>
      <c r="U336" s="15" t="s">
        <v>1026</v>
      </c>
      <c r="V336" s="15" t="s">
        <v>1027</v>
      </c>
      <c r="W336" s="7">
        <v>-21</v>
      </c>
      <c r="X336" s="7"/>
      <c r="Y336" s="7"/>
      <c r="Z336" s="7"/>
      <c r="AA336" s="16">
        <v>282707</v>
      </c>
      <c r="AB336" s="17">
        <f t="shared" si="30"/>
        <v>242.26708641101916</v>
      </c>
      <c r="AC336" s="27">
        <f t="shared" si="15"/>
        <v>3.5738802431661831E-4</v>
      </c>
      <c r="AD336" s="19">
        <v>19818</v>
      </c>
      <c r="AE336" s="28">
        <f t="shared" si="31"/>
        <v>-8.9017803560712538E-3</v>
      </c>
      <c r="AF336" s="16">
        <v>136710000</v>
      </c>
      <c r="AG336" s="27">
        <f t="shared" si="33"/>
        <v>-1.4560657392056475E-2</v>
      </c>
      <c r="AH336" s="16">
        <v>12647000</v>
      </c>
      <c r="AI336" s="29">
        <f t="shared" si="32"/>
        <v>-3.2313997477931844E-3</v>
      </c>
      <c r="AJ336" s="7">
        <f t="shared" si="34"/>
        <v>1445137.02</v>
      </c>
      <c r="AK336" s="27">
        <f t="shared" si="34"/>
        <v>7.2100478761849551E-4</v>
      </c>
    </row>
    <row r="337" spans="1:37" ht="22.5" x14ac:dyDescent="0.55000000000000004">
      <c r="A337" s="7" t="s">
        <v>1028</v>
      </c>
      <c r="B337" s="25">
        <v>0.6875</v>
      </c>
      <c r="C337" s="7">
        <v>1441263.16</v>
      </c>
      <c r="D337" s="27">
        <f t="shared" si="26"/>
        <v>-2.6806177866788294E-3</v>
      </c>
      <c r="E337" s="7">
        <v>410777.14</v>
      </c>
      <c r="F337" s="27">
        <f t="shared" si="35"/>
        <v>3.5019075655173815E-4</v>
      </c>
      <c r="G337" s="9">
        <v>54236486.686999999</v>
      </c>
      <c r="H337" s="9">
        <v>25749.167000000001</v>
      </c>
      <c r="I337" s="24">
        <f t="shared" si="36"/>
        <v>25.749167</v>
      </c>
      <c r="J337" s="24">
        <f t="shared" si="29"/>
        <v>34.154192333333327</v>
      </c>
      <c r="K337" s="11">
        <v>10646281.874</v>
      </c>
      <c r="L337" s="11">
        <v>3456470.6460000002</v>
      </c>
      <c r="M337" s="11">
        <v>179121.92499999999</v>
      </c>
      <c r="N337" s="13">
        <v>2706</v>
      </c>
      <c r="O337" s="13">
        <v>330</v>
      </c>
      <c r="P337" s="13">
        <v>352</v>
      </c>
      <c r="Q337" s="13">
        <v>79</v>
      </c>
      <c r="R337" s="23">
        <v>1.64</v>
      </c>
      <c r="S337" s="13">
        <v>29</v>
      </c>
      <c r="T337" s="23">
        <v>1.3</v>
      </c>
      <c r="U337" s="15" t="s">
        <v>1029</v>
      </c>
      <c r="V337" s="15" t="s">
        <v>1030</v>
      </c>
      <c r="W337" s="7">
        <v>-137</v>
      </c>
      <c r="X337" s="7"/>
      <c r="Y337" s="7"/>
      <c r="Z337" s="7"/>
      <c r="AA337" s="16">
        <v>284415</v>
      </c>
      <c r="AB337" s="17">
        <f t="shared" si="30"/>
        <v>240.28001057257882</v>
      </c>
      <c r="AC337" s="27">
        <f t="shared" si="15"/>
        <v>6.0415907635820165E-3</v>
      </c>
      <c r="AD337" s="19">
        <v>20405</v>
      </c>
      <c r="AE337" s="28">
        <f t="shared" si="31"/>
        <v>2.9619537793924788E-2</v>
      </c>
      <c r="AF337" s="16">
        <v>136200000</v>
      </c>
      <c r="AG337" s="27">
        <f t="shared" si="33"/>
        <v>-3.7305244678516036E-3</v>
      </c>
      <c r="AH337" s="16">
        <v>12677000</v>
      </c>
      <c r="AI337" s="29">
        <f t="shared" si="32"/>
        <v>2.3721040562978413E-3</v>
      </c>
      <c r="AJ337" s="7">
        <f t="shared" si="34"/>
        <v>1441263.16</v>
      </c>
      <c r="AK337" s="27">
        <f t="shared" si="34"/>
        <v>-2.6806177866788294E-3</v>
      </c>
    </row>
    <row r="338" spans="1:37" ht="22.5" x14ac:dyDescent="0.55000000000000004">
      <c r="A338" s="7" t="s">
        <v>1031</v>
      </c>
      <c r="B338" s="25">
        <v>0.54166666666666663</v>
      </c>
      <c r="C338" s="7">
        <v>1439396</v>
      </c>
      <c r="D338" s="27">
        <f t="shared" si="26"/>
        <v>-1.2955024813094962E-3</v>
      </c>
      <c r="E338" s="7">
        <v>411897.05</v>
      </c>
      <c r="F338" s="27">
        <f t="shared" si="35"/>
        <v>2.7263201647491631E-3</v>
      </c>
      <c r="G338" s="9">
        <v>54165871.582000002</v>
      </c>
      <c r="H338" s="9">
        <v>37288.084999999999</v>
      </c>
      <c r="I338" s="24">
        <f t="shared" si="36"/>
        <v>37.288085000000002</v>
      </c>
      <c r="J338" s="24">
        <f t="shared" si="29"/>
        <v>34.705232888888894</v>
      </c>
      <c r="K338" s="11">
        <v>10650178.454</v>
      </c>
      <c r="L338" s="11">
        <v>3466113.6239999998</v>
      </c>
      <c r="M338" s="11">
        <v>169761.489</v>
      </c>
      <c r="N338" s="13">
        <v>2735</v>
      </c>
      <c r="O338" s="13">
        <f>224+145</f>
        <v>369</v>
      </c>
      <c r="P338" s="13">
        <f>159+133</f>
        <v>292</v>
      </c>
      <c r="Q338" s="13">
        <v>76</v>
      </c>
      <c r="R338" s="23">
        <v>1.57</v>
      </c>
      <c r="S338" s="13">
        <v>30</v>
      </c>
      <c r="T338" s="23">
        <v>1.03</v>
      </c>
      <c r="U338" s="15" t="s">
        <v>1032</v>
      </c>
      <c r="V338" s="15" t="s">
        <v>1033</v>
      </c>
      <c r="W338" s="7">
        <v>-227</v>
      </c>
      <c r="X338" s="7"/>
      <c r="Y338" s="7"/>
      <c r="Z338" s="7"/>
      <c r="AA338" s="16">
        <v>282570</v>
      </c>
      <c r="AB338" s="17">
        <f t="shared" si="30"/>
        <v>241.64689691050003</v>
      </c>
      <c r="AC338" s="27">
        <f t="shared" si="15"/>
        <v>-6.4869996308211109E-3</v>
      </c>
      <c r="AD338" s="19">
        <v>20265</v>
      </c>
      <c r="AE338" s="28">
        <f t="shared" si="31"/>
        <v>-6.8610634648370583E-3</v>
      </c>
      <c r="AF338" s="16">
        <v>137550000</v>
      </c>
      <c r="AG338" s="27">
        <f t="shared" si="33"/>
        <v>9.9118942731277748E-3</v>
      </c>
      <c r="AH338" s="16">
        <v>12765000</v>
      </c>
      <c r="AI338" s="29">
        <f t="shared" si="32"/>
        <v>6.9417054508165155E-3</v>
      </c>
      <c r="AJ338" s="7">
        <f t="shared" si="34"/>
        <v>1439396</v>
      </c>
      <c r="AK338" s="27">
        <f t="shared" si="34"/>
        <v>-1.2955024813094962E-3</v>
      </c>
    </row>
    <row r="339" spans="1:37" ht="22.5" x14ac:dyDescent="0.55000000000000004">
      <c r="A339" s="7" t="s">
        <v>1034</v>
      </c>
      <c r="B339" s="25">
        <v>0.60416666666666663</v>
      </c>
      <c r="C339" s="7">
        <v>1426933.5</v>
      </c>
      <c r="D339" s="27">
        <f t="shared" si="26"/>
        <v>-8.6581454999180574E-3</v>
      </c>
      <c r="E339" s="7">
        <v>407973.09</v>
      </c>
      <c r="F339" s="27">
        <f t="shared" si="35"/>
        <v>-9.5265552399561582E-3</v>
      </c>
      <c r="G339" s="9">
        <v>53702411.987000003</v>
      </c>
      <c r="H339" s="9">
        <v>28023.577000000001</v>
      </c>
      <c r="I339" s="24">
        <f t="shared" si="36"/>
        <v>28.023577</v>
      </c>
      <c r="J339" s="24">
        <f t="shared" si="29"/>
        <v>34.526403888888893</v>
      </c>
      <c r="K339" s="11">
        <v>10566654.263</v>
      </c>
      <c r="L339" s="11">
        <v>3444262.3930000002</v>
      </c>
      <c r="M339" s="11">
        <v>171735.785</v>
      </c>
      <c r="N339" s="13">
        <v>2911</v>
      </c>
      <c r="O339" s="13">
        <f>103+86</f>
        <v>189</v>
      </c>
      <c r="P339" s="13">
        <f>201+281</f>
        <v>482</v>
      </c>
      <c r="Q339" s="13">
        <v>48</v>
      </c>
      <c r="R339" s="23">
        <v>1.1000000000000001</v>
      </c>
      <c r="S339" s="13">
        <v>56</v>
      </c>
      <c r="T339" s="23">
        <v>1.46</v>
      </c>
      <c r="U339" s="15" t="s">
        <v>1035</v>
      </c>
      <c r="V339" s="15" t="s">
        <v>1036</v>
      </c>
      <c r="W339" s="7">
        <v>-442</v>
      </c>
      <c r="X339" s="7"/>
      <c r="Y339" s="7"/>
      <c r="Z339" s="7"/>
      <c r="AA339" s="16">
        <v>285420</v>
      </c>
      <c r="AB339" s="17">
        <f t="shared" si="30"/>
        <v>237.24100848924394</v>
      </c>
      <c r="AC339" s="27">
        <f t="shared" si="15"/>
        <v>1.0085996390275076E-2</v>
      </c>
      <c r="AD339" s="19">
        <v>19807</v>
      </c>
      <c r="AE339" s="28">
        <f t="shared" si="31"/>
        <v>-2.2600542807796664E-2</v>
      </c>
      <c r="AF339" s="16">
        <v>139270000</v>
      </c>
      <c r="AG339" s="27">
        <f t="shared" si="33"/>
        <v>1.2504543802253743E-2</v>
      </c>
      <c r="AH339" s="16">
        <v>12739000</v>
      </c>
      <c r="AI339" s="29">
        <f t="shared" si="32"/>
        <v>-2.0368194281237262E-3</v>
      </c>
      <c r="AJ339" s="7">
        <f t="shared" si="34"/>
        <v>1426933.5</v>
      </c>
      <c r="AK339" s="27">
        <f t="shared" si="34"/>
        <v>-8.6581454999180574E-3</v>
      </c>
    </row>
    <row r="340" spans="1:37" ht="22.5" x14ac:dyDescent="0.55000000000000004">
      <c r="A340" s="7" t="s">
        <v>1037</v>
      </c>
      <c r="B340" s="25">
        <v>0.70833333333333337</v>
      </c>
      <c r="C340" s="7">
        <v>1426948.77</v>
      </c>
      <c r="D340" s="27">
        <f t="shared" si="26"/>
        <v>1.0701269540502878E-5</v>
      </c>
      <c r="E340" s="7">
        <v>409013.53</v>
      </c>
      <c r="F340" s="27">
        <f t="shared" si="35"/>
        <v>2.5502662442760116E-3</v>
      </c>
      <c r="G340" s="9">
        <v>53699915.718000002</v>
      </c>
      <c r="H340" s="9">
        <v>23983.376</v>
      </c>
      <c r="I340" s="24">
        <f t="shared" si="36"/>
        <v>23.983376</v>
      </c>
      <c r="J340" s="24">
        <f t="shared" si="29"/>
        <v>33.78770466666667</v>
      </c>
      <c r="K340" s="11">
        <v>10577467.566</v>
      </c>
      <c r="L340" s="11">
        <v>3450139.2570000002</v>
      </c>
      <c r="M340" s="11">
        <v>160854.60999999999</v>
      </c>
      <c r="N340" s="13">
        <v>2264</v>
      </c>
      <c r="O340" s="13">
        <f>194+164</f>
        <v>358</v>
      </c>
      <c r="P340" s="13">
        <f>188+127</f>
        <v>315</v>
      </c>
      <c r="Q340" s="13">
        <v>71</v>
      </c>
      <c r="R340" s="23">
        <v>1.59</v>
      </c>
      <c r="S340" s="13">
        <v>39</v>
      </c>
      <c r="T340" s="23">
        <v>2.2400000000000002</v>
      </c>
      <c r="U340" s="15" t="s">
        <v>1038</v>
      </c>
      <c r="V340" s="15" t="s">
        <v>1039</v>
      </c>
      <c r="W340" s="7">
        <v>-185</v>
      </c>
      <c r="X340" s="7"/>
      <c r="Y340" s="7"/>
      <c r="Z340" s="7"/>
      <c r="AA340" s="16">
        <v>285521</v>
      </c>
      <c r="AB340" s="17">
        <f t="shared" si="30"/>
        <v>237.20679929322191</v>
      </c>
      <c r="AC340" s="27">
        <f t="shared" si="15"/>
        <v>3.5386448041485608E-4</v>
      </c>
      <c r="AD340" s="19">
        <v>19848</v>
      </c>
      <c r="AE340" s="28">
        <f t="shared" si="31"/>
        <v>2.069975261271173E-3</v>
      </c>
      <c r="AF340" s="16">
        <v>139830000</v>
      </c>
      <c r="AG340" s="27">
        <f t="shared" si="33"/>
        <v>4.0209664680117552E-3</v>
      </c>
      <c r="AH340" s="16">
        <v>12843000</v>
      </c>
      <c r="AI340" s="29">
        <f t="shared" si="32"/>
        <v>8.1639061150797776E-3</v>
      </c>
      <c r="AJ340" s="7">
        <f t="shared" si="34"/>
        <v>1426948.77</v>
      </c>
      <c r="AK340" s="27">
        <f t="shared" si="34"/>
        <v>1.0701269540502878E-5</v>
      </c>
    </row>
    <row r="341" spans="1:37" ht="22.5" x14ac:dyDescent="0.55000000000000004">
      <c r="A341" s="7" t="s">
        <v>1040</v>
      </c>
      <c r="B341" s="25">
        <v>0.54166666666666663</v>
      </c>
      <c r="C341" s="7">
        <v>1426781.09</v>
      </c>
      <c r="D341" s="27">
        <f t="shared" si="26"/>
        <v>-1.1750947442912274E-4</v>
      </c>
      <c r="E341" s="7">
        <v>410375.08</v>
      </c>
      <c r="F341" s="27">
        <f t="shared" si="35"/>
        <v>3.3288629840679818E-3</v>
      </c>
      <c r="G341" s="9">
        <v>53660708.598999999</v>
      </c>
      <c r="H341" s="9">
        <v>38737.660000000003</v>
      </c>
      <c r="I341" s="24">
        <f t="shared" si="36"/>
        <v>38.737660000000005</v>
      </c>
      <c r="J341" s="24">
        <f t="shared" si="29"/>
        <v>33.838685111111111</v>
      </c>
      <c r="K341" s="11">
        <v>10588077.796</v>
      </c>
      <c r="L341" s="11">
        <v>3459452.74</v>
      </c>
      <c r="M341" s="11">
        <v>1410360.45</v>
      </c>
      <c r="N341" s="13">
        <v>2812</v>
      </c>
      <c r="O341" s="13">
        <f>205+176</f>
        <v>381</v>
      </c>
      <c r="P341" s="13">
        <f>181+171</f>
        <v>352</v>
      </c>
      <c r="Q341" s="13">
        <v>89</v>
      </c>
      <c r="R341" s="23">
        <v>2.02</v>
      </c>
      <c r="S341" s="13">
        <v>26</v>
      </c>
      <c r="T341" s="23">
        <v>0.81100000000000005</v>
      </c>
      <c r="U341" s="15" t="s">
        <v>1041</v>
      </c>
      <c r="V341" s="15" t="s">
        <v>1042</v>
      </c>
      <c r="W341" s="7">
        <v>-103</v>
      </c>
      <c r="X341" s="7"/>
      <c r="Y341" s="7"/>
      <c r="Z341" s="7"/>
      <c r="AA341" s="16">
        <v>285420</v>
      </c>
      <c r="AB341" s="17">
        <f t="shared" si="30"/>
        <v>237.22317684465</v>
      </c>
      <c r="AC341" s="27">
        <f t="shared" si="15"/>
        <v>-3.5373930463955539E-4</v>
      </c>
      <c r="AD341" s="19">
        <v>19761</v>
      </c>
      <c r="AE341" s="28">
        <f t="shared" si="31"/>
        <v>-4.3833131801692682E-3</v>
      </c>
      <c r="AF341" s="16">
        <v>138740000</v>
      </c>
      <c r="AG341" s="27">
        <f t="shared" si="33"/>
        <v>-7.7951798612601042E-3</v>
      </c>
      <c r="AH341" s="16">
        <v>12730000</v>
      </c>
      <c r="AI341" s="29">
        <f t="shared" si="32"/>
        <v>-8.7985673129331587E-3</v>
      </c>
      <c r="AJ341" s="7">
        <f t="shared" si="34"/>
        <v>1426781.09</v>
      </c>
      <c r="AK341" s="27">
        <f t="shared" si="34"/>
        <v>-1.1750947442912274E-4</v>
      </c>
    </row>
    <row r="342" spans="1:37" ht="22.5" x14ac:dyDescent="0.55000000000000004">
      <c r="A342" s="7" t="s">
        <v>1043</v>
      </c>
      <c r="B342" s="25">
        <v>0.625</v>
      </c>
      <c r="C342" s="7">
        <v>1420833.88</v>
      </c>
      <c r="D342" s="27">
        <f t="shared" si="26"/>
        <v>-4.1682708312318351E-3</v>
      </c>
      <c r="E342" s="7">
        <v>410774.77</v>
      </c>
      <c r="F342" s="27">
        <f t="shared" si="35"/>
        <v>9.7396264899907159E-4</v>
      </c>
      <c r="G342" s="9">
        <v>53437932.004000001</v>
      </c>
      <c r="H342" s="9">
        <v>25785.370999999999</v>
      </c>
      <c r="I342" s="24">
        <f t="shared" si="36"/>
        <v>25.785370999999998</v>
      </c>
      <c r="J342" s="24">
        <f t="shared" si="29"/>
        <v>32.09232022222222</v>
      </c>
      <c r="K342" s="11">
        <v>10599932.116</v>
      </c>
      <c r="L342" s="11">
        <v>3467525.9049999998</v>
      </c>
      <c r="M342" s="11">
        <v>100737.539</v>
      </c>
      <c r="N342" s="13">
        <v>2384</v>
      </c>
      <c r="O342" s="13">
        <f>178+148</f>
        <v>326</v>
      </c>
      <c r="P342" s="13">
        <f>144+216</f>
        <v>360</v>
      </c>
      <c r="Q342" s="13">
        <v>72</v>
      </c>
      <c r="R342" s="23">
        <v>2.7</v>
      </c>
      <c r="S342" s="13">
        <v>34</v>
      </c>
      <c r="T342" s="23">
        <v>1.9</v>
      </c>
      <c r="U342" s="15" t="s">
        <v>1044</v>
      </c>
      <c r="V342" s="15" t="s">
        <v>1045</v>
      </c>
      <c r="W342" s="7">
        <v>-89</v>
      </c>
      <c r="X342" s="7"/>
      <c r="Y342" s="7"/>
      <c r="Z342" s="7"/>
      <c r="AA342" s="16">
        <v>285722</v>
      </c>
      <c r="AB342" s="17">
        <f t="shared" si="30"/>
        <v>236.262486000378</v>
      </c>
      <c r="AC342" s="27">
        <f t="shared" si="15"/>
        <v>1.0580898325274202E-3</v>
      </c>
      <c r="AD342" s="19">
        <v>19986</v>
      </c>
      <c r="AE342" s="28">
        <f t="shared" si="31"/>
        <v>1.1386063458326934E-2</v>
      </c>
      <c r="AF342" s="16">
        <v>139280000</v>
      </c>
      <c r="AG342" s="27">
        <f t="shared" si="33"/>
        <v>3.8921724088223364E-3</v>
      </c>
      <c r="AH342" s="16">
        <v>12776000</v>
      </c>
      <c r="AI342" s="29">
        <f t="shared" si="32"/>
        <v>3.6135113904163241E-3</v>
      </c>
      <c r="AJ342" s="7">
        <f t="shared" si="34"/>
        <v>1420833.88</v>
      </c>
      <c r="AK342" s="27">
        <f t="shared" si="34"/>
        <v>-4.1682708312318351E-3</v>
      </c>
    </row>
    <row r="343" spans="1:37" ht="22.5" x14ac:dyDescent="0.55000000000000004">
      <c r="A343" s="7" t="s">
        <v>1046</v>
      </c>
      <c r="B343" s="25">
        <v>0.5625</v>
      </c>
      <c r="C343" s="7">
        <v>1412856</v>
      </c>
      <c r="D343" s="27">
        <f t="shared" si="26"/>
        <v>-5.6149280449308003E-3</v>
      </c>
      <c r="E343" s="7">
        <v>410325</v>
      </c>
      <c r="F343" s="27">
        <f t="shared" si="35"/>
        <v>-1.0949309277198394E-3</v>
      </c>
      <c r="G343" s="9">
        <v>53160674.814999998</v>
      </c>
      <c r="H343" s="9">
        <v>26214.856</v>
      </c>
      <c r="I343" s="24">
        <f t="shared" si="36"/>
        <v>26.214856000000001</v>
      </c>
      <c r="J343" s="24">
        <f t="shared" si="29"/>
        <v>30.257945999999997</v>
      </c>
      <c r="K343" s="11">
        <v>10591043.366</v>
      </c>
      <c r="L343" s="11">
        <v>3491760.5279999999</v>
      </c>
      <c r="M343" s="11">
        <v>83822.578999999998</v>
      </c>
      <c r="N343" s="13">
        <v>3063</v>
      </c>
      <c r="O343" s="13">
        <f>107+115</f>
        <v>222</v>
      </c>
      <c r="P343" s="13">
        <f>162+282</f>
        <v>444</v>
      </c>
      <c r="Q343" s="13">
        <v>62</v>
      </c>
      <c r="R343" s="23">
        <v>2.67</v>
      </c>
      <c r="S343" s="13">
        <v>34</v>
      </c>
      <c r="T343" s="23">
        <v>1.1200000000000001</v>
      </c>
      <c r="U343" s="15" t="s">
        <v>1047</v>
      </c>
      <c r="V343" s="15" t="s">
        <v>1048</v>
      </c>
      <c r="W343" s="7">
        <v>-184</v>
      </c>
      <c r="X343" s="7"/>
      <c r="Y343" s="7"/>
      <c r="Z343" s="7"/>
      <c r="AA343" s="16">
        <v>285717</v>
      </c>
      <c r="AB343" s="17">
        <f t="shared" si="30"/>
        <v>235.34993965707324</v>
      </c>
      <c r="AC343" s="27">
        <f t="shared" si="15"/>
        <v>-1.7499527512732094E-5</v>
      </c>
      <c r="AD343" s="19">
        <v>18806</v>
      </c>
      <c r="AE343" s="28">
        <f t="shared" si="31"/>
        <v>-5.9041328930251158E-2</v>
      </c>
      <c r="AF343" s="16">
        <v>138480000</v>
      </c>
      <c r="AG343" s="27">
        <f t="shared" si="33"/>
        <v>-5.7438253877082346E-3</v>
      </c>
      <c r="AH343" s="16">
        <v>12725000</v>
      </c>
      <c r="AI343" s="29">
        <f t="shared" si="32"/>
        <v>-3.9918597370068865E-3</v>
      </c>
      <c r="AJ343" s="7">
        <f t="shared" si="34"/>
        <v>1412856</v>
      </c>
      <c r="AK343" s="27">
        <f t="shared" si="34"/>
        <v>-5.6149280449308003E-3</v>
      </c>
    </row>
    <row r="344" spans="1:37" ht="22.5" x14ac:dyDescent="0.55000000000000004">
      <c r="A344" s="7" t="s">
        <v>1049</v>
      </c>
      <c r="B344" s="25">
        <v>0.58333333333333337</v>
      </c>
      <c r="C344" s="7">
        <v>1397434.64</v>
      </c>
      <c r="D344" s="27">
        <f t="shared" si="26"/>
        <v>-1.0915026018221363E-2</v>
      </c>
      <c r="E344" s="7">
        <v>405569.55</v>
      </c>
      <c r="F344" s="27">
        <f t="shared" si="35"/>
        <v>-1.1589471760190095E-2</v>
      </c>
      <c r="G344" s="9">
        <v>52559173.949000001</v>
      </c>
      <c r="H344" s="9">
        <v>27562.542000000001</v>
      </c>
      <c r="I344" s="24">
        <f t="shared" si="36"/>
        <v>27.562542000000001</v>
      </c>
      <c r="J344" s="24">
        <f t="shared" si="29"/>
        <v>29.773529555555555</v>
      </c>
      <c r="K344" s="11">
        <v>10514011.380999999</v>
      </c>
      <c r="L344" s="11">
        <v>3483382.4</v>
      </c>
      <c r="M344" s="11">
        <v>69138.430999999997</v>
      </c>
      <c r="N344" s="13">
        <v>2691</v>
      </c>
      <c r="O344" s="13">
        <f>72+89</f>
        <v>161</v>
      </c>
      <c r="P344" s="13">
        <f>208+305</f>
        <v>513</v>
      </c>
      <c r="Q344" s="13">
        <v>50</v>
      </c>
      <c r="R344" s="23">
        <v>1.49</v>
      </c>
      <c r="S344" s="13">
        <v>75</v>
      </c>
      <c r="T344" s="23">
        <v>2.0299999999999998</v>
      </c>
      <c r="U344" s="15" t="s">
        <v>1050</v>
      </c>
      <c r="V344" s="15" t="s">
        <v>1051</v>
      </c>
      <c r="W344" s="7">
        <v>-414</v>
      </c>
      <c r="X344" s="7"/>
      <c r="Y344" s="7"/>
      <c r="Z344" s="7"/>
      <c r="AA344" s="16">
        <v>286023</v>
      </c>
      <c r="AB344" s="17">
        <f t="shared" si="30"/>
        <v>232.69655842362329</v>
      </c>
      <c r="AC344" s="27">
        <f t="shared" si="15"/>
        <v>1.0709898255967243E-3</v>
      </c>
      <c r="AD344" s="19">
        <v>21362</v>
      </c>
      <c r="AE344" s="28">
        <f t="shared" si="31"/>
        <v>0.13591406997766664</v>
      </c>
      <c r="AF344" s="16">
        <v>138780000</v>
      </c>
      <c r="AG344" s="27">
        <f t="shared" si="33"/>
        <v>2.1663778162912539E-3</v>
      </c>
      <c r="AH344" s="16">
        <v>12850000</v>
      </c>
      <c r="AI344" s="31">
        <f t="shared" si="32"/>
        <v>9.8231827111985304E-3</v>
      </c>
      <c r="AJ344" s="7">
        <f t="shared" si="34"/>
        <v>1397434.64</v>
      </c>
      <c r="AK344" s="27">
        <f t="shared" si="34"/>
        <v>-1.0915026018221363E-2</v>
      </c>
    </row>
    <row r="345" spans="1:37" ht="22.5" x14ac:dyDescent="0.55000000000000004">
      <c r="A345" s="7" t="s">
        <v>1052</v>
      </c>
      <c r="B345" s="25">
        <v>0.5625</v>
      </c>
      <c r="C345" s="7">
        <v>1390731.94</v>
      </c>
      <c r="D345" s="27">
        <f t="shared" si="26"/>
        <v>-4.7964318388443727E-3</v>
      </c>
      <c r="E345" s="7">
        <v>403024.63</v>
      </c>
      <c r="F345" s="27">
        <f t="shared" si="35"/>
        <v>-6.2749286774610447E-3</v>
      </c>
      <c r="G345" s="9">
        <v>52309252.340000004</v>
      </c>
      <c r="H345" s="9">
        <v>26969.547999999999</v>
      </c>
      <c r="I345" s="24">
        <f t="shared" si="36"/>
        <v>26.969548</v>
      </c>
      <c r="J345" s="24">
        <f t="shared" si="29"/>
        <v>28.923798000000001</v>
      </c>
      <c r="K345" s="11">
        <v>10383486.221000001</v>
      </c>
      <c r="L345" s="11">
        <v>3467356.412</v>
      </c>
      <c r="M345" s="11">
        <v>80234.990999999995</v>
      </c>
      <c r="N345" s="13">
        <v>2641</v>
      </c>
      <c r="O345" s="13">
        <v>186</v>
      </c>
      <c r="P345" s="13">
        <v>469</v>
      </c>
      <c r="Q345" s="13">
        <v>38</v>
      </c>
      <c r="R345" s="23">
        <v>1.47</v>
      </c>
      <c r="S345" s="13">
        <v>69</v>
      </c>
      <c r="T345" s="23">
        <v>2.2000000000000002</v>
      </c>
      <c r="U345" s="15" t="s">
        <v>1053</v>
      </c>
      <c r="V345" s="15" t="s">
        <v>1054</v>
      </c>
      <c r="W345" s="7">
        <v>-244</v>
      </c>
      <c r="X345" s="7"/>
      <c r="Y345" s="7"/>
      <c r="Z345" s="7"/>
      <c r="AA345" s="16">
        <v>286182</v>
      </c>
      <c r="AB345" s="17">
        <f t="shared" si="30"/>
        <v>231.1818876554081</v>
      </c>
      <c r="AC345" s="27">
        <f t="shared" si="15"/>
        <v>5.5589935075150976E-4</v>
      </c>
      <c r="AD345" s="19">
        <v>21683</v>
      </c>
      <c r="AE345" s="28">
        <f t="shared" si="31"/>
        <v>1.5026682894859977E-2</v>
      </c>
      <c r="AF345" s="16">
        <v>141570000</v>
      </c>
      <c r="AG345" s="27">
        <f t="shared" si="33"/>
        <v>2.0103761348897464E-2</v>
      </c>
      <c r="AH345" s="16">
        <v>12989000</v>
      </c>
      <c r="AI345" s="31">
        <f t="shared" si="32"/>
        <v>1.0817120622568011E-2</v>
      </c>
      <c r="AJ345" s="7">
        <f t="shared" ref="AJ345:AK397" si="37">C345</f>
        <v>1390731.94</v>
      </c>
      <c r="AK345" s="27">
        <f t="shared" si="37"/>
        <v>-4.7964318388443727E-3</v>
      </c>
    </row>
    <row r="346" spans="1:37" ht="22.5" x14ac:dyDescent="0.55000000000000004">
      <c r="A346" s="7" t="s">
        <v>1055</v>
      </c>
      <c r="B346" s="25">
        <v>0.5625</v>
      </c>
      <c r="C346" s="7">
        <v>1388937.67</v>
      </c>
      <c r="D346" s="27">
        <f t="shared" si="26"/>
        <v>-1.2901623586785149E-3</v>
      </c>
      <c r="E346" s="7">
        <v>402482.87</v>
      </c>
      <c r="F346" s="27">
        <f t="shared" si="35"/>
        <v>-1.3442354627308806E-3</v>
      </c>
      <c r="G346" s="9">
        <v>52241368.630000003</v>
      </c>
      <c r="H346" s="9">
        <v>46093.326999999997</v>
      </c>
      <c r="I346" s="24">
        <f t="shared" si="36"/>
        <v>46.093326999999995</v>
      </c>
      <c r="J346" s="24">
        <f t="shared" si="29"/>
        <v>31.184260222222221</v>
      </c>
      <c r="K346" s="11">
        <v>10346604.352</v>
      </c>
      <c r="L346" s="11">
        <v>3462489.2390000001</v>
      </c>
      <c r="M346" s="11">
        <v>1382889.213</v>
      </c>
      <c r="N346" s="13">
        <v>2354</v>
      </c>
      <c r="O346" s="13">
        <v>348</v>
      </c>
      <c r="P346" s="13">
        <v>394</v>
      </c>
      <c r="Q346" s="13">
        <v>52</v>
      </c>
      <c r="R346" s="23">
        <v>1.5</v>
      </c>
      <c r="S346" s="13">
        <v>54</v>
      </c>
      <c r="T346" s="23">
        <v>2.6</v>
      </c>
      <c r="U346" s="15" t="s">
        <v>1056</v>
      </c>
      <c r="V346" s="15" t="s">
        <v>1057</v>
      </c>
      <c r="W346" s="7">
        <v>-243</v>
      </c>
      <c r="X346" s="7"/>
      <c r="Y346" s="7"/>
      <c r="Z346" s="7"/>
      <c r="AA346" s="16">
        <v>286379</v>
      </c>
      <c r="AB346" s="17">
        <f t="shared" si="30"/>
        <v>230.64003373501549</v>
      </c>
      <c r="AC346" s="27">
        <f t="shared" si="15"/>
        <v>6.8837313318104165E-4</v>
      </c>
      <c r="AD346" s="19">
        <v>22219</v>
      </c>
      <c r="AE346" s="28">
        <f t="shared" si="31"/>
        <v>2.471982659226124E-2</v>
      </c>
      <c r="AF346" s="16">
        <v>144480000</v>
      </c>
      <c r="AG346" s="27">
        <f t="shared" si="33"/>
        <v>2.0555202373384152E-2</v>
      </c>
      <c r="AH346" s="16">
        <v>13259000</v>
      </c>
      <c r="AI346" s="31">
        <f t="shared" si="32"/>
        <v>2.0786819616598562E-2</v>
      </c>
      <c r="AJ346" s="7">
        <f t="shared" si="37"/>
        <v>1388937.67</v>
      </c>
      <c r="AK346" s="27">
        <f t="shared" si="37"/>
        <v>-1.2901623586785149E-3</v>
      </c>
    </row>
    <row r="347" spans="1:37" ht="22.5" x14ac:dyDescent="0.55000000000000004">
      <c r="A347" s="7" t="s">
        <v>1058</v>
      </c>
      <c r="B347" s="25">
        <v>0.60416666666666663</v>
      </c>
      <c r="C347" s="7">
        <v>1393126.53</v>
      </c>
      <c r="D347" s="27">
        <f t="shared" si="26"/>
        <v>3.0158732752925133E-3</v>
      </c>
      <c r="E347" s="7">
        <v>405257.21</v>
      </c>
      <c r="F347" s="27">
        <f t="shared" si="35"/>
        <v>6.8930635482697955E-3</v>
      </c>
      <c r="G347" s="9">
        <v>52393120.188000001</v>
      </c>
      <c r="H347" s="9">
        <v>34579.468999999997</v>
      </c>
      <c r="I347" s="24">
        <f t="shared" si="36"/>
        <v>34.579468999999996</v>
      </c>
      <c r="J347" s="24">
        <f t="shared" si="29"/>
        <v>30.883302888888888</v>
      </c>
      <c r="K347" s="11">
        <v>10350857.936000001</v>
      </c>
      <c r="L347" s="11">
        <v>3461906.227</v>
      </c>
      <c r="M347" s="11">
        <v>99905.599000000002</v>
      </c>
      <c r="N347" s="13">
        <v>2931</v>
      </c>
      <c r="O347" s="13">
        <v>445</v>
      </c>
      <c r="P347" s="13">
        <v>227</v>
      </c>
      <c r="Q347" s="13">
        <v>76</v>
      </c>
      <c r="R347" s="23">
        <v>2.7</v>
      </c>
      <c r="S347" s="13">
        <v>34</v>
      </c>
      <c r="T347" s="23">
        <v>1.7</v>
      </c>
      <c r="U347" s="15" t="s">
        <v>1059</v>
      </c>
      <c r="V347" s="15" t="s">
        <v>1060</v>
      </c>
      <c r="W347" s="7">
        <v>10</v>
      </c>
      <c r="X347" s="7"/>
      <c r="Y347" s="7"/>
      <c r="Z347" s="7"/>
      <c r="AA347" s="16">
        <v>286425</v>
      </c>
      <c r="AB347" s="17">
        <f t="shared" si="30"/>
        <v>231.14562049751245</v>
      </c>
      <c r="AC347" s="27">
        <f t="shared" si="15"/>
        <v>1.606263029063637E-4</v>
      </c>
      <c r="AD347" s="19">
        <v>22386</v>
      </c>
      <c r="AE347" s="28">
        <f t="shared" si="31"/>
        <v>7.5160898330257631E-3</v>
      </c>
      <c r="AF347" s="16">
        <v>148680000</v>
      </c>
      <c r="AG347" s="27">
        <f t="shared" si="33"/>
        <v>2.9069767441860517E-2</v>
      </c>
      <c r="AH347" s="16">
        <v>13379000</v>
      </c>
      <c r="AI347" s="31">
        <f t="shared" si="32"/>
        <v>9.0504562938380495E-3</v>
      </c>
      <c r="AJ347" s="7">
        <f t="shared" si="37"/>
        <v>1393126.53</v>
      </c>
      <c r="AK347" s="27">
        <f t="shared" si="37"/>
        <v>3.0158732752925133E-3</v>
      </c>
    </row>
    <row r="348" spans="1:37" ht="22.5" x14ac:dyDescent="0.55000000000000004">
      <c r="A348" s="7" t="s">
        <v>1061</v>
      </c>
      <c r="B348" s="25">
        <v>0.5625</v>
      </c>
      <c r="C348" s="7">
        <v>1389079.58</v>
      </c>
      <c r="D348" s="27">
        <f t="shared" si="26"/>
        <v>-2.9049407306886987E-3</v>
      </c>
      <c r="E348" s="7">
        <v>404887.66</v>
      </c>
      <c r="F348" s="27">
        <f t="shared" si="35"/>
        <v>-9.118900068428859E-4</v>
      </c>
      <c r="G348" s="9">
        <v>52248755.020000003</v>
      </c>
      <c r="H348" s="9">
        <v>62157.031999999999</v>
      </c>
      <c r="I348" s="24">
        <f t="shared" si="36"/>
        <v>62.157032000000001</v>
      </c>
      <c r="J348" s="24">
        <f t="shared" si="29"/>
        <v>34.675908999999997</v>
      </c>
      <c r="K348" s="11">
        <v>10333959.778999999</v>
      </c>
      <c r="L348" s="11">
        <v>3463874.6129999999</v>
      </c>
      <c r="M348" s="11">
        <v>168810.802</v>
      </c>
      <c r="N348" s="13">
        <v>2483</v>
      </c>
      <c r="O348" s="13">
        <v>288</v>
      </c>
      <c r="P348" s="13">
        <v>395</v>
      </c>
      <c r="Q348" s="13">
        <v>57</v>
      </c>
      <c r="R348" s="23">
        <v>1.98</v>
      </c>
      <c r="S348" s="13">
        <v>37</v>
      </c>
      <c r="T348" s="23">
        <v>1.28</v>
      </c>
      <c r="U348" s="15" t="s">
        <v>1062</v>
      </c>
      <c r="V348" s="15" t="s">
        <v>1063</v>
      </c>
      <c r="W348" s="7">
        <v>-132</v>
      </c>
      <c r="X348" s="7"/>
      <c r="Y348" s="7"/>
      <c r="Z348" s="7"/>
      <c r="AA348" s="16">
        <v>287430</v>
      </c>
      <c r="AB348" s="17">
        <f t="shared" si="30"/>
        <v>229.78321473750131</v>
      </c>
      <c r="AC348" s="27">
        <f t="shared" si="15"/>
        <v>3.5087719298245723E-3</v>
      </c>
      <c r="AD348" s="19">
        <v>20248</v>
      </c>
      <c r="AE348" s="28">
        <f t="shared" si="31"/>
        <v>-9.5506119896363817E-2</v>
      </c>
      <c r="AF348" s="16">
        <v>144900000</v>
      </c>
      <c r="AG348" s="27">
        <f t="shared" si="33"/>
        <v>-2.5423728813559365E-2</v>
      </c>
      <c r="AH348" s="16">
        <v>13224000</v>
      </c>
      <c r="AI348" s="31">
        <f t="shared" si="32"/>
        <v>-1.1585320278047706E-2</v>
      </c>
      <c r="AJ348" s="7">
        <f t="shared" si="37"/>
        <v>1389079.58</v>
      </c>
      <c r="AK348" s="27">
        <f t="shared" si="37"/>
        <v>-2.9049407306886987E-3</v>
      </c>
    </row>
    <row r="349" spans="1:37" ht="22.5" x14ac:dyDescent="0.55000000000000004">
      <c r="A349" s="7" t="s">
        <v>1064</v>
      </c>
      <c r="B349" s="25"/>
      <c r="C349" s="7">
        <v>1377915.5</v>
      </c>
      <c r="D349" s="27">
        <f t="shared" si="26"/>
        <v>-8.0370341345022966E-3</v>
      </c>
      <c r="E349" s="7">
        <v>401909</v>
      </c>
      <c r="F349" s="27">
        <f t="shared" si="35"/>
        <v>-7.3567566865336831E-3</v>
      </c>
      <c r="G349" s="9">
        <v>51826218.895999998</v>
      </c>
      <c r="H349" s="9">
        <v>35416</v>
      </c>
      <c r="I349" s="24">
        <f t="shared" si="36"/>
        <v>35.415999999999997</v>
      </c>
      <c r="J349" s="24">
        <f t="shared" si="29"/>
        <v>35.946200555555556</v>
      </c>
      <c r="K349" s="11">
        <v>10275585</v>
      </c>
      <c r="L349" s="11">
        <v>3463458.9</v>
      </c>
      <c r="M349" s="11">
        <v>105598.352</v>
      </c>
      <c r="N349" s="13">
        <v>2287</v>
      </c>
      <c r="O349" s="13">
        <v>159</v>
      </c>
      <c r="P349" s="13">
        <v>524</v>
      </c>
      <c r="Q349" s="13">
        <v>51</v>
      </c>
      <c r="R349" s="23">
        <v>1.4</v>
      </c>
      <c r="S349" s="13">
        <v>67</v>
      </c>
      <c r="T349" s="23">
        <v>1.7</v>
      </c>
      <c r="U349" s="15" t="s">
        <v>1065</v>
      </c>
      <c r="V349" s="15" t="s">
        <v>1066</v>
      </c>
      <c r="W349" s="7">
        <v>-275</v>
      </c>
      <c r="X349" s="7"/>
      <c r="Y349" s="7"/>
      <c r="Z349" s="7"/>
      <c r="AA349" s="16">
        <v>288033</v>
      </c>
      <c r="AB349" s="17">
        <f t="shared" si="30"/>
        <v>227.63107975822214</v>
      </c>
      <c r="AC349" s="27">
        <f t="shared" si="15"/>
        <v>2.0979020979021712E-3</v>
      </c>
      <c r="AD349" s="19">
        <v>20067</v>
      </c>
      <c r="AE349" s="28">
        <f t="shared" si="31"/>
        <v>-8.93915448439353E-3</v>
      </c>
      <c r="AF349" s="16">
        <v>144650000</v>
      </c>
      <c r="AG349" s="27">
        <f t="shared" si="33"/>
        <v>-1.7253278122842941E-3</v>
      </c>
      <c r="AH349" s="16">
        <v>13173000</v>
      </c>
      <c r="AI349" s="31">
        <f t="shared" si="32"/>
        <v>-3.856624319419244E-3</v>
      </c>
      <c r="AJ349" s="7">
        <f t="shared" si="37"/>
        <v>1377915.5</v>
      </c>
      <c r="AK349" s="27">
        <f t="shared" si="37"/>
        <v>-8.0370341345022966E-3</v>
      </c>
    </row>
    <row r="350" spans="1:37" ht="22.5" x14ac:dyDescent="0.55000000000000004">
      <c r="A350" s="7" t="s">
        <v>1067</v>
      </c>
      <c r="B350" s="25">
        <v>0.57291666666666663</v>
      </c>
      <c r="C350" s="7">
        <v>1373821.69</v>
      </c>
      <c r="D350" s="27">
        <f t="shared" si="26"/>
        <v>-2.9710167278037547E-3</v>
      </c>
      <c r="E350" s="7">
        <v>400212.36</v>
      </c>
      <c r="F350" s="27">
        <f t="shared" si="35"/>
        <v>-4.2214531150086554E-3</v>
      </c>
      <c r="G350" s="9">
        <v>51673912.877999999</v>
      </c>
      <c r="H350" s="9">
        <v>28427.315999999999</v>
      </c>
      <c r="I350" s="24">
        <f t="shared" si="36"/>
        <v>28.427315999999998</v>
      </c>
      <c r="J350" s="24">
        <f t="shared" si="29"/>
        <v>34.80060677777778</v>
      </c>
      <c r="K350" s="11">
        <v>10245908.114</v>
      </c>
      <c r="L350" s="11">
        <v>3482756.17</v>
      </c>
      <c r="M350" s="11">
        <v>1435859.456</v>
      </c>
      <c r="N350" s="13">
        <v>2163</v>
      </c>
      <c r="O350" s="13">
        <f>99+116</f>
        <v>215</v>
      </c>
      <c r="P350" s="13">
        <f>289+231</f>
        <v>520</v>
      </c>
      <c r="Q350" s="13">
        <v>49</v>
      </c>
      <c r="R350" s="23">
        <v>1.39</v>
      </c>
      <c r="S350" s="13">
        <v>76</v>
      </c>
      <c r="T350" s="23">
        <v>1.66</v>
      </c>
      <c r="U350" s="15" t="s">
        <v>1068</v>
      </c>
      <c r="V350" s="15" t="s">
        <v>1069</v>
      </c>
      <c r="W350" s="7">
        <v>-192</v>
      </c>
      <c r="X350" s="7"/>
      <c r="Y350" s="7"/>
      <c r="Z350" s="7"/>
      <c r="AA350" s="16">
        <v>287933</v>
      </c>
      <c r="AB350" s="17">
        <f t="shared" si="30"/>
        <v>227.14512460190392</v>
      </c>
      <c r="AC350" s="27">
        <f t="shared" si="15"/>
        <v>-3.4718244090081729E-4</v>
      </c>
      <c r="AD350" s="19">
        <v>18438</v>
      </c>
      <c r="AE350" s="28">
        <f t="shared" si="31"/>
        <v>-8.1178053520705618E-2</v>
      </c>
      <c r="AF350" s="16">
        <v>142920000</v>
      </c>
      <c r="AG350" s="27">
        <f t="shared" si="33"/>
        <v>-1.195990321465612E-2</v>
      </c>
      <c r="AH350" s="16">
        <v>13053000</v>
      </c>
      <c r="AI350" s="31">
        <f t="shared" si="32"/>
        <v>-9.1095422455022002E-3</v>
      </c>
      <c r="AJ350" s="7">
        <f t="shared" si="37"/>
        <v>1373821.69</v>
      </c>
      <c r="AK350" s="27">
        <f t="shared" si="37"/>
        <v>-2.9710167278037547E-3</v>
      </c>
    </row>
    <row r="351" spans="1:37" ht="22.5" x14ac:dyDescent="0.55000000000000004">
      <c r="A351" s="7" t="s">
        <v>1070</v>
      </c>
      <c r="B351" s="25">
        <v>0.60416666666666663</v>
      </c>
      <c r="C351" s="7">
        <v>1367060.32</v>
      </c>
      <c r="D351" s="27">
        <f t="shared" si="26"/>
        <v>-4.9215775593118849E-3</v>
      </c>
      <c r="E351" s="7">
        <v>397909.87</v>
      </c>
      <c r="F351" s="27">
        <f t="shared" si="35"/>
        <v>-5.7531706417063289E-3</v>
      </c>
      <c r="G351" s="9">
        <v>51413086.575000003</v>
      </c>
      <c r="H351" s="9">
        <v>24828.282999999999</v>
      </c>
      <c r="I351" s="24">
        <f t="shared" si="36"/>
        <v>24.828282999999999</v>
      </c>
      <c r="J351" s="24">
        <f t="shared" si="29"/>
        <v>34.694263666666671</v>
      </c>
      <c r="K351" s="11">
        <v>10203109.33</v>
      </c>
      <c r="L351" s="11">
        <v>3476677.55</v>
      </c>
      <c r="M351" s="11">
        <v>64281.027000000002</v>
      </c>
      <c r="N351" s="13">
        <v>2449</v>
      </c>
      <c r="O351" s="13">
        <f>98+91</f>
        <v>189</v>
      </c>
      <c r="P351" s="13">
        <f>193+290</f>
        <v>483</v>
      </c>
      <c r="Q351" s="13">
        <v>44</v>
      </c>
      <c r="R351" s="23">
        <v>1.23</v>
      </c>
      <c r="S351" s="13">
        <v>85</v>
      </c>
      <c r="T351" s="23">
        <v>1.0900000000000001</v>
      </c>
      <c r="U351" s="15" t="s">
        <v>1071</v>
      </c>
      <c r="V351" s="15" t="s">
        <v>1072</v>
      </c>
      <c r="W351" s="7">
        <v>-173</v>
      </c>
      <c r="X351" s="7"/>
      <c r="Y351" s="7"/>
      <c r="Z351" s="7"/>
      <c r="AA351" s="16">
        <v>288234</v>
      </c>
      <c r="AB351" s="17">
        <f t="shared" si="30"/>
        <v>225.83343205520515</v>
      </c>
      <c r="AC351" s="27">
        <f t="shared" si="15"/>
        <v>1.0453820854157136E-3</v>
      </c>
      <c r="AD351" s="19">
        <v>19225</v>
      </c>
      <c r="AE351" s="28">
        <f t="shared" si="31"/>
        <v>4.268358824167473E-2</v>
      </c>
      <c r="AF351" s="16">
        <v>142720000</v>
      </c>
      <c r="AG351" s="27">
        <f t="shared" si="33"/>
        <v>-1.3993842709207893E-3</v>
      </c>
      <c r="AH351" s="16">
        <v>13122000</v>
      </c>
      <c r="AI351" s="31">
        <f t="shared" si="32"/>
        <v>5.2861411169846662E-3</v>
      </c>
      <c r="AJ351" s="7">
        <f t="shared" si="37"/>
        <v>1367060.32</v>
      </c>
      <c r="AK351" s="27">
        <f t="shared" si="37"/>
        <v>-4.9215775593118849E-3</v>
      </c>
    </row>
    <row r="352" spans="1:37" ht="22.5" x14ac:dyDescent="0.55000000000000004">
      <c r="A352" s="7" t="s">
        <v>1073</v>
      </c>
      <c r="B352" s="25">
        <v>0.64583333333333337</v>
      </c>
      <c r="C352" s="7">
        <v>1355229.36</v>
      </c>
      <c r="D352" s="27">
        <f t="shared" si="26"/>
        <v>-8.6543072217910577E-3</v>
      </c>
      <c r="E352" s="7">
        <v>395677.35</v>
      </c>
      <c r="F352" s="27">
        <f t="shared" si="35"/>
        <v>-5.6106172988370506E-3</v>
      </c>
      <c r="G352" s="9">
        <v>50975940.461999997</v>
      </c>
      <c r="H352" s="9">
        <v>27965.054</v>
      </c>
      <c r="I352" s="24">
        <f t="shared" si="36"/>
        <v>27.965053999999999</v>
      </c>
      <c r="J352" s="24">
        <f t="shared" si="29"/>
        <v>34.888730111111116</v>
      </c>
      <c r="K352" s="11">
        <v>10145293.744999999</v>
      </c>
      <c r="L352" s="11">
        <v>3452320.6690000002</v>
      </c>
      <c r="M352" s="11">
        <v>98171.129000000001</v>
      </c>
      <c r="N352" s="13">
        <v>2228</v>
      </c>
      <c r="O352" s="13">
        <f>112+114</f>
        <v>226</v>
      </c>
      <c r="P352" s="13">
        <f>281+164</f>
        <v>445</v>
      </c>
      <c r="Q352" s="13">
        <v>39</v>
      </c>
      <c r="R352" s="23">
        <v>1.18</v>
      </c>
      <c r="S352" s="13">
        <v>77</v>
      </c>
      <c r="T352" s="23">
        <v>2.02</v>
      </c>
      <c r="U352" s="15" t="s">
        <v>1074</v>
      </c>
      <c r="V352" s="15" t="s">
        <v>1075</v>
      </c>
      <c r="W352" s="7">
        <v>-243</v>
      </c>
      <c r="X352" s="7"/>
      <c r="Y352" s="7"/>
      <c r="Z352" s="7"/>
      <c r="AA352" s="16">
        <v>287413</v>
      </c>
      <c r="AB352" s="17">
        <f t="shared" si="30"/>
        <v>224.67165673090636</v>
      </c>
      <c r="AC352" s="27">
        <f t="shared" si="15"/>
        <v>-2.8483801355843053E-3</v>
      </c>
      <c r="AD352" s="19">
        <v>18992</v>
      </c>
      <c r="AE352" s="28">
        <f t="shared" si="31"/>
        <v>-1.2119635890767255E-2</v>
      </c>
      <c r="AF352" s="16">
        <v>141650000</v>
      </c>
      <c r="AG352" s="27">
        <f t="shared" si="33"/>
        <v>-7.497197309417003E-3</v>
      </c>
      <c r="AH352" s="16">
        <v>13226000</v>
      </c>
      <c r="AI352" s="31">
        <f t="shared" si="32"/>
        <v>7.9256210943454697E-3</v>
      </c>
      <c r="AJ352" s="7">
        <f t="shared" si="37"/>
        <v>1355229.36</v>
      </c>
      <c r="AK352" s="27">
        <f t="shared" si="37"/>
        <v>-8.6543072217910577E-3</v>
      </c>
    </row>
    <row r="353" spans="1:37" ht="22.5" x14ac:dyDescent="0.55000000000000004">
      <c r="A353" s="7" t="s">
        <v>1076</v>
      </c>
      <c r="B353" s="25">
        <v>0.58333333333333337</v>
      </c>
      <c r="C353" s="7">
        <v>1328183.33</v>
      </c>
      <c r="D353" s="27">
        <f t="shared" si="26"/>
        <v>-1.9956791668090834E-2</v>
      </c>
      <c r="E353" s="7">
        <v>386515.13</v>
      </c>
      <c r="F353" s="27">
        <f t="shared" si="35"/>
        <v>-2.3155785894744763E-2</v>
      </c>
      <c r="G353" s="9">
        <v>49958256.158</v>
      </c>
      <c r="H353" s="9">
        <v>29762.217000000001</v>
      </c>
      <c r="I353" s="24">
        <f t="shared" si="36"/>
        <v>29.762217</v>
      </c>
      <c r="J353" s="24">
        <f t="shared" si="29"/>
        <v>35.133138444444441</v>
      </c>
      <c r="K353" s="11">
        <v>10004712.878</v>
      </c>
      <c r="L353" s="11">
        <v>3423112.8879999998</v>
      </c>
      <c r="M353" s="11">
        <v>36491.631000000001</v>
      </c>
      <c r="N353" s="13">
        <v>2691</v>
      </c>
      <c r="O353" s="13">
        <f>34+51</f>
        <v>85</v>
      </c>
      <c r="P353" s="13">
        <f>352+231</f>
        <v>583</v>
      </c>
      <c r="Q353" s="13">
        <v>22</v>
      </c>
      <c r="R353" s="23">
        <v>0.94</v>
      </c>
      <c r="S353" s="13">
        <v>209</v>
      </c>
      <c r="T353" s="23">
        <v>3.4</v>
      </c>
      <c r="U353" s="15" t="s">
        <v>1077</v>
      </c>
      <c r="V353" s="15" t="s">
        <v>1078</v>
      </c>
      <c r="W353" s="7">
        <v>-638</v>
      </c>
      <c r="X353" s="7"/>
      <c r="Y353" s="7"/>
      <c r="Z353" s="7"/>
      <c r="AA353" s="16">
        <v>287018</v>
      </c>
      <c r="AB353" s="17">
        <f t="shared" si="30"/>
        <v>220.84357748991354</v>
      </c>
      <c r="AC353" s="27">
        <f t="shared" si="15"/>
        <v>-1.3743289273623338E-3</v>
      </c>
      <c r="AD353" s="19">
        <v>19048</v>
      </c>
      <c r="AE353" s="28">
        <f t="shared" si="31"/>
        <v>2.9486099410278577E-3</v>
      </c>
      <c r="AF353" s="16">
        <v>143580000</v>
      </c>
      <c r="AG353" s="27">
        <f t="shared" si="33"/>
        <v>1.3625132368513926E-2</v>
      </c>
      <c r="AH353" s="16">
        <v>13111000</v>
      </c>
      <c r="AI353" s="31">
        <f t="shared" si="32"/>
        <v>-8.6949947073945433E-3</v>
      </c>
      <c r="AJ353" s="7">
        <f t="shared" si="37"/>
        <v>1328183.33</v>
      </c>
      <c r="AK353" s="27">
        <f t="shared" si="37"/>
        <v>-1.9956791668090834E-2</v>
      </c>
    </row>
    <row r="354" spans="1:37" ht="22.5" x14ac:dyDescent="0.55000000000000004">
      <c r="A354" s="7" t="s">
        <v>1079</v>
      </c>
      <c r="B354" s="25">
        <v>0.64583333333333337</v>
      </c>
      <c r="C354" s="7">
        <v>1334448.05</v>
      </c>
      <c r="D354" s="27">
        <f t="shared" si="26"/>
        <v>4.7167584914651339E-3</v>
      </c>
      <c r="E354" s="7">
        <v>388031.76</v>
      </c>
      <c r="F354" s="27">
        <f t="shared" si="35"/>
        <v>3.9238567452715145E-3</v>
      </c>
      <c r="G354" s="9">
        <v>50193710.365999997</v>
      </c>
      <c r="H354" s="9">
        <v>24149.753000000001</v>
      </c>
      <c r="I354" s="24">
        <f t="shared" si="36"/>
        <v>24.149753</v>
      </c>
      <c r="J354" s="24">
        <f t="shared" si="29"/>
        <v>34.819827888888888</v>
      </c>
      <c r="K354" s="11">
        <v>10027538.463</v>
      </c>
      <c r="L354" s="11">
        <v>3411008.784</v>
      </c>
      <c r="M354" s="11">
        <v>1357929.983</v>
      </c>
      <c r="N354" s="13">
        <v>2223</v>
      </c>
      <c r="O354" s="13">
        <f>253+184</f>
        <v>437</v>
      </c>
      <c r="P354" s="13">
        <f>147+129</f>
        <v>276</v>
      </c>
      <c r="Q354" s="13">
        <v>53</v>
      </c>
      <c r="R354" s="23">
        <v>1.03</v>
      </c>
      <c r="S354" s="13">
        <v>65</v>
      </c>
      <c r="T354" s="23">
        <v>1.77</v>
      </c>
      <c r="U354" s="15" t="s">
        <v>1080</v>
      </c>
      <c r="V354" s="15" t="s">
        <v>1081</v>
      </c>
      <c r="W354" s="7">
        <v>-141</v>
      </c>
      <c r="X354" s="7"/>
      <c r="Y354" s="7"/>
      <c r="Z354" s="7"/>
      <c r="AA354" s="16">
        <v>287933</v>
      </c>
      <c r="AB354" s="17">
        <f t="shared" si="30"/>
        <v>220.99675137271518</v>
      </c>
      <c r="AC354" s="27">
        <f t="shared" si="15"/>
        <v>3.1879533687781958E-3</v>
      </c>
      <c r="AD354" s="19">
        <v>18967</v>
      </c>
      <c r="AE354" s="28">
        <f t="shared" si="31"/>
        <v>-4.2524149517009224E-3</v>
      </c>
      <c r="AF354" s="16">
        <v>143080000</v>
      </c>
      <c r="AG354" s="27">
        <f t="shared" si="33"/>
        <v>-3.4823791614431165E-3</v>
      </c>
      <c r="AH354" s="16">
        <v>13097000</v>
      </c>
      <c r="AI354" s="31">
        <f t="shared" si="32"/>
        <v>-1.0678056593700358E-3</v>
      </c>
      <c r="AJ354" s="7">
        <f t="shared" si="37"/>
        <v>1334448.05</v>
      </c>
      <c r="AK354" s="27">
        <f t="shared" si="37"/>
        <v>4.7167584914651339E-3</v>
      </c>
    </row>
    <row r="355" spans="1:37" ht="22.5" x14ac:dyDescent="0.55000000000000004">
      <c r="A355" s="7" t="s">
        <v>1082</v>
      </c>
      <c r="B355" s="25">
        <v>0.59375</v>
      </c>
      <c r="C355" s="7">
        <v>1346564.03</v>
      </c>
      <c r="D355" s="27">
        <f t="shared" si="26"/>
        <v>9.0793942858997667E-3</v>
      </c>
      <c r="E355" s="7">
        <v>392498.28</v>
      </c>
      <c r="F355" s="27">
        <f t="shared" si="35"/>
        <v>1.1510707267879283E-2</v>
      </c>
      <c r="G355" s="9">
        <v>50647838.427000001</v>
      </c>
      <c r="H355" s="9">
        <v>27295.386999999999</v>
      </c>
      <c r="I355" s="24">
        <f t="shared" si="36"/>
        <v>27.295386999999998</v>
      </c>
      <c r="J355" s="24">
        <f t="shared" si="29"/>
        <v>32.731167888888891</v>
      </c>
      <c r="K355" s="11">
        <v>9982611.3880000003</v>
      </c>
      <c r="L355" s="11">
        <v>3416892.4649999999</v>
      </c>
      <c r="M355" s="11">
        <v>64672.714999999997</v>
      </c>
      <c r="N355" s="13">
        <v>2266</v>
      </c>
      <c r="O355" s="13">
        <f>305+214</f>
        <v>519</v>
      </c>
      <c r="P355" s="13">
        <f>85+74</f>
        <v>159</v>
      </c>
      <c r="Q355" s="13">
        <v>69</v>
      </c>
      <c r="R355" s="23">
        <v>1.27</v>
      </c>
      <c r="S355" s="13">
        <v>49</v>
      </c>
      <c r="T355" s="23">
        <v>1.57</v>
      </c>
      <c r="U355" s="15" t="s">
        <v>1083</v>
      </c>
      <c r="V355" s="15" t="s">
        <v>1084</v>
      </c>
      <c r="W355" s="7">
        <v>64</v>
      </c>
      <c r="X355" s="7"/>
      <c r="Y355" s="7"/>
      <c r="Z355" s="7"/>
      <c r="AA355" s="16">
        <v>286425</v>
      </c>
      <c r="AB355" s="17">
        <f t="shared" si="30"/>
        <v>223.60946942480581</v>
      </c>
      <c r="AC355" s="27">
        <f t="shared" si="15"/>
        <v>-5.2373295176307844E-3</v>
      </c>
      <c r="AD355" s="19">
        <v>18888</v>
      </c>
      <c r="AE355" s="28">
        <f t="shared" si="31"/>
        <v>-4.1651289081034992E-3</v>
      </c>
      <c r="AF355" s="16">
        <v>143970000</v>
      </c>
      <c r="AG355" s="27">
        <f t="shared" si="33"/>
        <v>6.2202963377131493E-3</v>
      </c>
      <c r="AH355" s="16">
        <v>13058000</v>
      </c>
      <c r="AI355" s="31">
        <f t="shared" si="32"/>
        <v>-2.977781171260574E-3</v>
      </c>
      <c r="AJ355" s="7">
        <f t="shared" si="37"/>
        <v>1346564.03</v>
      </c>
      <c r="AK355" s="27">
        <f t="shared" si="37"/>
        <v>9.0793942858997667E-3</v>
      </c>
    </row>
    <row r="356" spans="1:37" ht="22.5" x14ac:dyDescent="0.55000000000000004">
      <c r="A356" s="7" t="s">
        <v>1085</v>
      </c>
      <c r="B356" s="25">
        <v>0.6875</v>
      </c>
      <c r="C356" s="7">
        <v>1330878.8899999999</v>
      </c>
      <c r="D356" s="27">
        <f t="shared" si="26"/>
        <v>-1.1648268964974617E-2</v>
      </c>
      <c r="E356" s="7">
        <v>386137.67</v>
      </c>
      <c r="F356" s="27">
        <f t="shared" si="35"/>
        <v>-1.620544681113012E-2</v>
      </c>
      <c r="G356" s="9">
        <v>50056300.066</v>
      </c>
      <c r="H356" s="9">
        <v>32946.046999999999</v>
      </c>
      <c r="I356" s="24">
        <f t="shared" si="36"/>
        <v>32.946047</v>
      </c>
      <c r="J356" s="24">
        <f t="shared" si="29"/>
        <v>32.549676555555557</v>
      </c>
      <c r="K356" s="11">
        <v>9875274.8029999994</v>
      </c>
      <c r="L356" s="11">
        <v>3394967.986</v>
      </c>
      <c r="M356" s="11">
        <v>54928.482000000004</v>
      </c>
      <c r="N356" s="13">
        <v>2418</v>
      </c>
      <c r="O356" s="13">
        <f>46+82</f>
        <v>128</v>
      </c>
      <c r="P356" s="13">
        <f>223+342</f>
        <v>565</v>
      </c>
      <c r="Q356" s="13">
        <v>23</v>
      </c>
      <c r="R356" s="23">
        <v>0.53</v>
      </c>
      <c r="S356" s="13">
        <v>168</v>
      </c>
      <c r="T356" s="23">
        <v>2.5</v>
      </c>
      <c r="U356" s="15" t="s">
        <v>1086</v>
      </c>
      <c r="V356" s="15" t="s">
        <v>1087</v>
      </c>
      <c r="W356" s="7">
        <v>-590</v>
      </c>
      <c r="X356" s="7"/>
      <c r="Y356" s="7"/>
      <c r="Z356" s="7"/>
      <c r="AA356" s="16">
        <v>288254</v>
      </c>
      <c r="AB356" s="17">
        <f t="shared" si="30"/>
        <v>219.69007491656663</v>
      </c>
      <c r="AC356" s="27">
        <f t="shared" si="15"/>
        <v>6.3856157807453684E-3</v>
      </c>
      <c r="AD356" s="19">
        <v>19287</v>
      </c>
      <c r="AE356" s="28">
        <f t="shared" si="31"/>
        <v>2.1124523506988568E-2</v>
      </c>
      <c r="AF356" s="16">
        <v>152320000</v>
      </c>
      <c r="AG356" s="27">
        <f t="shared" si="33"/>
        <v>5.7998194068208608E-2</v>
      </c>
      <c r="AH356" s="16">
        <v>13709000</v>
      </c>
      <c r="AI356" s="31">
        <f t="shared" si="32"/>
        <v>4.9854495328534254E-2</v>
      </c>
      <c r="AJ356" s="7">
        <f t="shared" si="37"/>
        <v>1330878.8899999999</v>
      </c>
      <c r="AK356" s="27">
        <f t="shared" si="37"/>
        <v>-1.1648268964974617E-2</v>
      </c>
    </row>
    <row r="357" spans="1:37" ht="22.5" x14ac:dyDescent="0.55000000000000004">
      <c r="A357" s="7" t="s">
        <v>1088</v>
      </c>
      <c r="B357" s="25">
        <v>0.58333333333333337</v>
      </c>
      <c r="C357" s="7">
        <v>1322024.03</v>
      </c>
      <c r="D357" s="27">
        <f t="shared" si="26"/>
        <v>-6.6533927816676552E-3</v>
      </c>
      <c r="E357" s="7">
        <v>382114.75</v>
      </c>
      <c r="F357" s="27">
        <f t="shared" si="35"/>
        <v>-1.0418356748255087E-2</v>
      </c>
      <c r="G357" s="9">
        <v>49734446.733000003</v>
      </c>
      <c r="H357" s="9">
        <v>22282.358</v>
      </c>
      <c r="I357" s="24">
        <f t="shared" si="36"/>
        <v>22.282357999999999</v>
      </c>
      <c r="J357" s="24">
        <f t="shared" si="29"/>
        <v>28.119157222222221</v>
      </c>
      <c r="K357" s="11">
        <v>9854807.6809999999</v>
      </c>
      <c r="L357" s="11">
        <v>3374024.4169999999</v>
      </c>
      <c r="M357" s="11">
        <v>56218.694000000003</v>
      </c>
      <c r="N357" s="13">
        <v>2233</v>
      </c>
      <c r="O357" s="13">
        <f>87+96</f>
        <v>183</v>
      </c>
      <c r="P357" s="13">
        <f>203+307</f>
        <v>510</v>
      </c>
      <c r="Q357" s="13">
        <v>22</v>
      </c>
      <c r="R357" s="23">
        <v>0.74</v>
      </c>
      <c r="S357" s="13">
        <v>100</v>
      </c>
      <c r="T357" s="23">
        <v>2.64</v>
      </c>
      <c r="U357" s="15" t="s">
        <v>1089</v>
      </c>
      <c r="V357" s="15" t="s">
        <v>1090</v>
      </c>
      <c r="W357" s="7">
        <v>-453</v>
      </c>
      <c r="X357" s="7"/>
      <c r="Y357" s="7"/>
      <c r="Z357" s="7"/>
      <c r="AA357" s="16">
        <v>288435</v>
      </c>
      <c r="AB357" s="17">
        <f t="shared" si="30"/>
        <v>218.29278288349195</v>
      </c>
      <c r="AC357" s="27">
        <f t="shared" si="15"/>
        <v>6.2791843304865758E-4</v>
      </c>
      <c r="AD357" s="19">
        <v>19265</v>
      </c>
      <c r="AE357" s="28">
        <f t="shared" si="31"/>
        <v>-1.1406646964275957E-3</v>
      </c>
      <c r="AF357" s="16">
        <v>154510000</v>
      </c>
      <c r="AG357" s="27">
        <f t="shared" si="33"/>
        <v>1.4377626050420256E-2</v>
      </c>
      <c r="AH357" s="16">
        <v>13820000</v>
      </c>
      <c r="AI357" s="31">
        <f t="shared" si="32"/>
        <v>8.096870668903744E-3</v>
      </c>
      <c r="AJ357" s="7">
        <f t="shared" si="37"/>
        <v>1322024.03</v>
      </c>
      <c r="AK357" s="27">
        <f t="shared" si="37"/>
        <v>-6.6533927816676552E-3</v>
      </c>
    </row>
    <row r="358" spans="1:37" ht="22.5" x14ac:dyDescent="0.55000000000000004">
      <c r="A358" s="7" t="s">
        <v>1091</v>
      </c>
      <c r="B358" s="25">
        <v>0.73958333333333337</v>
      </c>
      <c r="C358" s="7">
        <v>1318713.95</v>
      </c>
      <c r="D358" s="27">
        <f t="shared" si="26"/>
        <v>-2.5037971511002732E-3</v>
      </c>
      <c r="E358" s="7">
        <v>381113.41</v>
      </c>
      <c r="F358" s="27">
        <f t="shared" si="35"/>
        <v>-2.6205217150084836E-3</v>
      </c>
      <c r="G358" s="9">
        <v>49545484.755999997</v>
      </c>
      <c r="H358" s="9">
        <v>19976.254000000001</v>
      </c>
      <c r="I358" s="24">
        <f t="shared" si="36"/>
        <v>19.976254000000001</v>
      </c>
      <c r="J358" s="24">
        <f t="shared" si="29"/>
        <v>26.403629888888887</v>
      </c>
      <c r="K358" s="11">
        <v>9823923.818</v>
      </c>
      <c r="L358" s="11">
        <v>3357393.2069999999</v>
      </c>
      <c r="M358" s="11">
        <v>1375273.835</v>
      </c>
      <c r="N358" s="13">
        <v>1848</v>
      </c>
      <c r="O358" s="13">
        <f>119+140</f>
        <v>259</v>
      </c>
      <c r="P358" s="13">
        <f>260+208</f>
        <v>468</v>
      </c>
      <c r="Q358" s="13">
        <v>31</v>
      </c>
      <c r="R358" s="23">
        <v>0.8</v>
      </c>
      <c r="S358" s="13">
        <v>89</v>
      </c>
      <c r="T358" s="23">
        <v>3.04</v>
      </c>
      <c r="U358" s="15" t="s">
        <v>1092</v>
      </c>
      <c r="V358" s="15" t="s">
        <v>1093</v>
      </c>
      <c r="W358" s="7">
        <v>-347</v>
      </c>
      <c r="X358" s="7"/>
      <c r="Y358" s="7"/>
      <c r="Z358" s="7"/>
      <c r="AA358" s="16">
        <v>288435</v>
      </c>
      <c r="AB358" s="17">
        <f t="shared" si="30"/>
        <v>217.47292034947213</v>
      </c>
      <c r="AC358" s="27">
        <f t="shared" si="15"/>
        <v>0</v>
      </c>
      <c r="AD358" s="19">
        <v>19287</v>
      </c>
      <c r="AE358" s="28">
        <f t="shared" si="31"/>
        <v>1.1419672982091456E-3</v>
      </c>
      <c r="AF358" s="16">
        <v>153370000</v>
      </c>
      <c r="AG358" s="27">
        <f t="shared" si="33"/>
        <v>-7.3781632256811891E-3</v>
      </c>
      <c r="AH358" s="16">
        <v>138150000</v>
      </c>
      <c r="AI358" s="31">
        <f t="shared" si="32"/>
        <v>8.9963820549927647</v>
      </c>
      <c r="AJ358" s="7">
        <f t="shared" si="37"/>
        <v>1318713.95</v>
      </c>
      <c r="AK358" s="27">
        <f t="shared" si="37"/>
        <v>-2.5037971511002732E-3</v>
      </c>
    </row>
    <row r="359" spans="1:37" ht="22.5" x14ac:dyDescent="0.55000000000000004">
      <c r="A359" s="7" t="s">
        <v>1094</v>
      </c>
      <c r="B359" s="25">
        <v>0.61458333333333337</v>
      </c>
      <c r="C359" s="7">
        <v>1313837.98</v>
      </c>
      <c r="D359" s="27">
        <f t="shared" si="26"/>
        <v>-3.6975190866829211E-3</v>
      </c>
      <c r="E359" s="7">
        <v>380348.14</v>
      </c>
      <c r="F359" s="27">
        <f t="shared" si="35"/>
        <v>-2.0079849722421939E-3</v>
      </c>
      <c r="G359" s="9">
        <v>49357395.188000001</v>
      </c>
      <c r="H359" s="9">
        <v>29801.777999999998</v>
      </c>
      <c r="I359" s="24">
        <f t="shared" si="36"/>
        <v>29.801777999999999</v>
      </c>
      <c r="J359" s="24">
        <f t="shared" si="29"/>
        <v>26.55634788888889</v>
      </c>
      <c r="K359" s="11">
        <v>9744586.8829999994</v>
      </c>
      <c r="L359" s="11">
        <v>3353271.1120000002</v>
      </c>
      <c r="M359" s="11">
        <v>25531.386999999999</v>
      </c>
      <c r="N359" s="13">
        <v>1767</v>
      </c>
      <c r="O359" s="13">
        <f>172+171</f>
        <v>343</v>
      </c>
      <c r="P359" s="13">
        <f>135+219</f>
        <v>354</v>
      </c>
      <c r="Q359" s="13">
        <v>49</v>
      </c>
      <c r="R359" s="23">
        <v>1.1000000000000001</v>
      </c>
      <c r="S359" s="13">
        <v>71</v>
      </c>
      <c r="T359" s="23">
        <v>2.1800000000000002</v>
      </c>
      <c r="U359" s="15" t="s">
        <v>1095</v>
      </c>
      <c r="V359" s="15" t="s">
        <v>1096</v>
      </c>
      <c r="W359" s="7">
        <v>-183</v>
      </c>
      <c r="X359" s="7"/>
      <c r="Y359" s="7"/>
      <c r="Z359" s="7"/>
      <c r="AA359" s="16">
        <v>288837</v>
      </c>
      <c r="AB359" s="17">
        <f t="shared" si="30"/>
        <v>216.23009927052283</v>
      </c>
      <c r="AC359" s="27">
        <f t="shared" si="15"/>
        <v>1.3937282229965486E-3</v>
      </c>
      <c r="AD359" s="19">
        <v>19948</v>
      </c>
      <c r="AE359" s="28">
        <f t="shared" si="31"/>
        <v>3.4271789288121468E-2</v>
      </c>
      <c r="AF359" s="16">
        <v>152030000</v>
      </c>
      <c r="AG359" s="27">
        <f t="shared" si="33"/>
        <v>-8.7370411423355332E-3</v>
      </c>
      <c r="AH359" s="16">
        <v>13942000</v>
      </c>
      <c r="AI359" s="31">
        <f t="shared" si="32"/>
        <v>-0.89908070937386897</v>
      </c>
      <c r="AJ359" s="7">
        <f t="shared" si="37"/>
        <v>1313837.98</v>
      </c>
      <c r="AK359" s="27">
        <f t="shared" si="37"/>
        <v>-3.6975190866829211E-3</v>
      </c>
    </row>
    <row r="360" spans="1:37" ht="22.5" x14ac:dyDescent="0.55000000000000004">
      <c r="A360" s="7" t="s">
        <v>1097</v>
      </c>
      <c r="B360" s="25"/>
      <c r="C360" s="7">
        <v>1316720.97</v>
      </c>
      <c r="D360" s="27">
        <f t="shared" si="26"/>
        <v>2.1943268834412333E-3</v>
      </c>
      <c r="E360" s="7">
        <v>381648.09</v>
      </c>
      <c r="F360" s="27">
        <f t="shared" si="35"/>
        <v>3.4177898175078436E-3</v>
      </c>
      <c r="G360" s="9">
        <v>49463997.979999997</v>
      </c>
      <c r="H360" s="9">
        <v>32393.364000000001</v>
      </c>
      <c r="I360" s="24">
        <f t="shared" si="36"/>
        <v>32.393363999999998</v>
      </c>
      <c r="J360" s="24">
        <f t="shared" si="29"/>
        <v>27.396912444444446</v>
      </c>
      <c r="K360" s="11">
        <v>9771694.8190000001</v>
      </c>
      <c r="L360" s="11">
        <v>3361460.3969999999</v>
      </c>
      <c r="M360" s="11">
        <v>48056.817999999999</v>
      </c>
      <c r="N360" s="13">
        <v>2109</v>
      </c>
      <c r="O360" s="13"/>
      <c r="P360" s="13"/>
      <c r="Q360" s="13"/>
      <c r="R360" s="23"/>
      <c r="S360" s="13"/>
      <c r="T360" s="23"/>
      <c r="U360" s="15"/>
      <c r="V360" s="15"/>
      <c r="W360" s="7">
        <v>-75</v>
      </c>
      <c r="X360" s="7"/>
      <c r="Y360" s="7"/>
      <c r="Z360" s="7"/>
      <c r="AA360" s="16">
        <v>288837</v>
      </c>
      <c r="AB360" s="17">
        <f t="shared" si="30"/>
        <v>216.72137986476801</v>
      </c>
      <c r="AC360" s="27">
        <f t="shared" si="15"/>
        <v>0</v>
      </c>
      <c r="AD360" s="19">
        <v>19462</v>
      </c>
      <c r="AE360" s="28">
        <f t="shared" si="31"/>
        <v>-2.4363344696210154E-2</v>
      </c>
      <c r="AF360" s="16">
        <v>149850000</v>
      </c>
      <c r="AG360" s="27">
        <f t="shared" si="33"/>
        <v>-1.4339275143063879E-2</v>
      </c>
      <c r="AH360" s="16">
        <v>13755000</v>
      </c>
      <c r="AI360" s="31">
        <f t="shared" si="32"/>
        <v>-1.3412709797733458E-2</v>
      </c>
      <c r="AJ360" s="7">
        <f t="shared" si="37"/>
        <v>1316720.97</v>
      </c>
      <c r="AK360" s="27">
        <f t="shared" si="37"/>
        <v>2.1943268834412333E-3</v>
      </c>
    </row>
    <row r="361" spans="1:37" ht="22.5" x14ac:dyDescent="0.55000000000000004">
      <c r="A361" s="7" t="s">
        <v>1098</v>
      </c>
      <c r="B361" s="25">
        <v>0.60416666666666663</v>
      </c>
      <c r="C361" s="7">
        <v>1305080.8799999999</v>
      </c>
      <c r="D361" s="27">
        <f t="shared" si="26"/>
        <v>-8.8402100864241051E-3</v>
      </c>
      <c r="E361" s="7">
        <v>376019.97</v>
      </c>
      <c r="F361" s="27">
        <f t="shared" si="35"/>
        <v>-1.4746883706400982E-2</v>
      </c>
      <c r="G361" s="9">
        <v>49024297.695</v>
      </c>
      <c r="H361" s="9">
        <v>21364.04</v>
      </c>
      <c r="I361" s="24">
        <f t="shared" si="36"/>
        <v>21.364039999999999</v>
      </c>
      <c r="J361" s="24">
        <f t="shared" si="29"/>
        <v>26.663466444444442</v>
      </c>
      <c r="K361" s="11">
        <v>9697463.1070000008</v>
      </c>
      <c r="L361" s="11">
        <v>3347392.8859999999</v>
      </c>
      <c r="M361" s="11">
        <v>34265.925999999999</v>
      </c>
      <c r="N361" s="13">
        <v>2296</v>
      </c>
      <c r="O361" s="13">
        <f>69+71</f>
        <v>140</v>
      </c>
      <c r="P361" s="13">
        <f>220+315</f>
        <v>535</v>
      </c>
      <c r="Q361" s="13">
        <v>35</v>
      </c>
      <c r="R361" s="23">
        <v>1.2</v>
      </c>
      <c r="S361" s="13">
        <v>102</v>
      </c>
      <c r="T361" s="23">
        <v>1.7</v>
      </c>
      <c r="U361" s="15" t="s">
        <v>1099</v>
      </c>
      <c r="V361" s="15" t="s">
        <v>1100</v>
      </c>
      <c r="W361" s="7">
        <v>-629</v>
      </c>
      <c r="X361" s="7"/>
      <c r="Y361" s="7"/>
      <c r="Z361" s="7"/>
      <c r="AA361" s="16">
        <v>288837</v>
      </c>
      <c r="AB361" s="17">
        <f t="shared" si="30"/>
        <v>214.89336091982676</v>
      </c>
      <c r="AC361" s="27">
        <f t="shared" si="15"/>
        <v>0</v>
      </c>
      <c r="AD361" s="19">
        <v>19426</v>
      </c>
      <c r="AE361" s="28">
        <f t="shared" si="31"/>
        <v>-1.849758503750909E-3</v>
      </c>
      <c r="AF361" s="16">
        <v>148450000</v>
      </c>
      <c r="AG361" s="27">
        <f t="shared" si="33"/>
        <v>-9.3426760093426875E-3</v>
      </c>
      <c r="AH361" s="16">
        <v>13640000</v>
      </c>
      <c r="AI361" s="31">
        <f t="shared" si="32"/>
        <v>-8.3605961468556922E-3</v>
      </c>
      <c r="AJ361" s="7">
        <f t="shared" si="37"/>
        <v>1305080.8799999999</v>
      </c>
      <c r="AK361" s="27">
        <f t="shared" si="37"/>
        <v>-8.8402100864241051E-3</v>
      </c>
    </row>
    <row r="362" spans="1:37" ht="22.5" x14ac:dyDescent="0.55000000000000004">
      <c r="A362" s="7" t="s">
        <v>1101</v>
      </c>
      <c r="B362" s="25">
        <v>0.63541666666666663</v>
      </c>
      <c r="C362" s="7">
        <v>1303926.47</v>
      </c>
      <c r="D362" s="27">
        <f t="shared" si="26"/>
        <v>-8.8455054218550266E-4</v>
      </c>
      <c r="E362" s="7">
        <v>375700.29</v>
      </c>
      <c r="F362" s="27">
        <f t="shared" si="35"/>
        <v>-8.5016761210843228E-4</v>
      </c>
      <c r="G362" s="9">
        <v>48984844.218999997</v>
      </c>
      <c r="H362" s="9">
        <v>19152.149000000001</v>
      </c>
      <c r="I362" s="24">
        <f t="shared" si="36"/>
        <v>19.152149000000001</v>
      </c>
      <c r="J362" s="24">
        <f t="shared" si="29"/>
        <v>25.484569999999998</v>
      </c>
      <c r="K362" s="11">
        <v>9668706.9130000006</v>
      </c>
      <c r="L362" s="11">
        <v>3325916.4909999999</v>
      </c>
      <c r="M362" s="11">
        <v>1345759.8119999999</v>
      </c>
      <c r="N362" s="13">
        <v>2267</v>
      </c>
      <c r="O362" s="13">
        <f>203+199</f>
        <v>402</v>
      </c>
      <c r="P362" s="13">
        <f>146+179</f>
        <v>325</v>
      </c>
      <c r="Q362" s="13">
        <v>52</v>
      </c>
      <c r="R362" s="23">
        <v>1.77</v>
      </c>
      <c r="S362" s="13">
        <v>63</v>
      </c>
      <c r="T362" s="23">
        <v>1.3</v>
      </c>
      <c r="U362" s="15" t="s">
        <v>1102</v>
      </c>
      <c r="V362" s="15" t="s">
        <v>1103</v>
      </c>
      <c r="W362" s="7">
        <v>-194</v>
      </c>
      <c r="X362" s="7"/>
      <c r="Y362" s="7"/>
      <c r="Z362" s="7"/>
      <c r="AA362" s="16">
        <v>288837</v>
      </c>
      <c r="AB362" s="17">
        <f t="shared" si="30"/>
        <v>214.5828533844348</v>
      </c>
      <c r="AC362" s="27">
        <f t="shared" si="15"/>
        <v>0</v>
      </c>
      <c r="AD362" s="19">
        <v>19343</v>
      </c>
      <c r="AE362" s="28">
        <f t="shared" si="31"/>
        <v>-4.2726243179244117E-3</v>
      </c>
      <c r="AF362" s="16">
        <v>148450000</v>
      </c>
      <c r="AG362" s="27">
        <f t="shared" si="33"/>
        <v>0</v>
      </c>
      <c r="AH362" s="16">
        <v>13642000</v>
      </c>
      <c r="AI362" s="31">
        <f t="shared" si="32"/>
        <v>1.4662756598249338E-4</v>
      </c>
      <c r="AJ362" s="7">
        <f t="shared" si="37"/>
        <v>1303926.47</v>
      </c>
      <c r="AK362" s="27">
        <f t="shared" si="37"/>
        <v>-8.8455054218550266E-4</v>
      </c>
    </row>
    <row r="363" spans="1:37" ht="22.5" x14ac:dyDescent="0.55000000000000004">
      <c r="A363" s="7" t="s">
        <v>1104</v>
      </c>
      <c r="B363" s="25">
        <v>0.6875</v>
      </c>
      <c r="C363" s="7">
        <v>1313582.01</v>
      </c>
      <c r="D363" s="27">
        <f t="shared" si="26"/>
        <v>7.4049727666007925E-3</v>
      </c>
      <c r="E363" s="7">
        <v>378879</v>
      </c>
      <c r="F363" s="27">
        <f t="shared" si="35"/>
        <v>8.4607600382742287E-3</v>
      </c>
      <c r="G363" s="9">
        <v>49228648.697999999</v>
      </c>
      <c r="H363" s="9">
        <v>25098.249</v>
      </c>
      <c r="I363" s="24">
        <f t="shared" si="36"/>
        <v>25.098248999999999</v>
      </c>
      <c r="J363" s="24">
        <f t="shared" si="29"/>
        <v>25.589958444444445</v>
      </c>
      <c r="K363" s="11">
        <v>9746890.5370000005</v>
      </c>
      <c r="L363" s="11">
        <v>3339559.247</v>
      </c>
      <c r="M363" s="11">
        <v>49901.438999999998</v>
      </c>
      <c r="N363" s="13">
        <v>2246</v>
      </c>
      <c r="O363" s="13">
        <f>308+216</f>
        <v>524</v>
      </c>
      <c r="P363" s="13">
        <f>90+91</f>
        <v>181</v>
      </c>
      <c r="Q363" s="13">
        <v>85</v>
      </c>
      <c r="R363" s="23">
        <v>2.06</v>
      </c>
      <c r="S363" s="13">
        <v>40</v>
      </c>
      <c r="T363" s="23">
        <v>0.628</v>
      </c>
      <c r="U363" s="15" t="s">
        <v>1105</v>
      </c>
      <c r="V363" s="15" t="s">
        <v>1106</v>
      </c>
      <c r="W363" s="7">
        <v>-138</v>
      </c>
      <c r="X363" s="7"/>
      <c r="Y363" s="7"/>
      <c r="Z363" s="7"/>
      <c r="AA363" s="16">
        <v>288837</v>
      </c>
      <c r="AB363" s="17">
        <f t="shared" si="30"/>
        <v>215.74486122622795</v>
      </c>
      <c r="AC363" s="27">
        <f t="shared" si="15"/>
        <v>0</v>
      </c>
      <c r="AD363" s="19">
        <v>19221</v>
      </c>
      <c r="AE363" s="28">
        <f t="shared" si="31"/>
        <v>-6.3071912319702106E-3</v>
      </c>
      <c r="AF363" s="16">
        <v>148980000</v>
      </c>
      <c r="AG363" s="27">
        <f t="shared" si="33"/>
        <v>3.5702256652070385E-3</v>
      </c>
      <c r="AH363" s="16">
        <v>13614000</v>
      </c>
      <c r="AI363" s="31">
        <f t="shared" si="32"/>
        <v>-2.0524849728779104E-3</v>
      </c>
      <c r="AJ363" s="7">
        <f t="shared" si="37"/>
        <v>1313582.01</v>
      </c>
      <c r="AK363" s="27">
        <f t="shared" si="37"/>
        <v>7.4049727666007925E-3</v>
      </c>
    </row>
    <row r="364" spans="1:37" ht="22.5" x14ac:dyDescent="0.55000000000000004">
      <c r="A364" s="7" t="s">
        <v>1107</v>
      </c>
      <c r="B364" s="25">
        <v>0.625</v>
      </c>
      <c r="C364" s="7">
        <v>1319789.73</v>
      </c>
      <c r="D364" s="27">
        <f t="shared" si="26"/>
        <v>4.7257955367399074E-3</v>
      </c>
      <c r="E364" s="7">
        <v>380270.63</v>
      </c>
      <c r="F364" s="27">
        <f t="shared" si="35"/>
        <v>3.6730196184007191E-3</v>
      </c>
      <c r="G364" s="9">
        <v>49462024.156999998</v>
      </c>
      <c r="H364" s="9">
        <v>29244.210999999999</v>
      </c>
      <c r="I364" s="24">
        <f t="shared" si="36"/>
        <v>29.244211</v>
      </c>
      <c r="J364" s="24">
        <f t="shared" si="29"/>
        <v>25.806494444444446</v>
      </c>
      <c r="K364" s="11">
        <v>9776518.1490000002</v>
      </c>
      <c r="L364" s="11">
        <v>3347460.5750000002</v>
      </c>
      <c r="M364" s="11">
        <v>51721.010999999999</v>
      </c>
      <c r="N364" s="13">
        <v>2147</v>
      </c>
      <c r="O364" s="13">
        <f>247+166</f>
        <v>413</v>
      </c>
      <c r="P364" s="13">
        <f>134+156</f>
        <v>290</v>
      </c>
      <c r="Q364" s="13">
        <v>74</v>
      </c>
      <c r="R364" s="23">
        <v>1.65</v>
      </c>
      <c r="S364" s="13">
        <v>44</v>
      </c>
      <c r="T364" s="23">
        <v>0.77700000000000002</v>
      </c>
      <c r="U364" s="15" t="s">
        <v>1108</v>
      </c>
      <c r="V364" s="15" t="s">
        <v>1109</v>
      </c>
      <c r="W364" s="7">
        <v>-191</v>
      </c>
      <c r="X364" s="7"/>
      <c r="Y364" s="7"/>
      <c r="Z364" s="7"/>
      <c r="AA364" s="16">
        <v>289038</v>
      </c>
      <c r="AB364" s="17">
        <f t="shared" si="30"/>
        <v>216.53209225430567</v>
      </c>
      <c r="AC364" s="27">
        <f t="shared" si="15"/>
        <v>6.9589422407800861E-4</v>
      </c>
      <c r="AD364" s="19">
        <v>19159</v>
      </c>
      <c r="AE364" s="28">
        <f t="shared" si="31"/>
        <v>-3.2256386244211566E-3</v>
      </c>
      <c r="AF364" s="16">
        <v>149130000</v>
      </c>
      <c r="AG364" s="27">
        <f t="shared" si="33"/>
        <v>1.0068465565846729E-3</v>
      </c>
      <c r="AH364" s="16">
        <v>13570000</v>
      </c>
      <c r="AI364" s="31">
        <f t="shared" si="32"/>
        <v>-3.2319670926986843E-3</v>
      </c>
      <c r="AJ364" s="7">
        <f t="shared" si="37"/>
        <v>1319789.73</v>
      </c>
      <c r="AK364" s="27">
        <f t="shared" si="37"/>
        <v>4.7257955367399074E-3</v>
      </c>
    </row>
    <row r="365" spans="1:37" ht="22.5" x14ac:dyDescent="0.55000000000000004">
      <c r="A365" s="7" t="s">
        <v>1110</v>
      </c>
      <c r="B365" s="25"/>
      <c r="C365" s="7">
        <v>1317894.43</v>
      </c>
      <c r="D365" s="27">
        <f t="shared" si="26"/>
        <v>-1.4360620914969369E-3</v>
      </c>
      <c r="E365" s="7">
        <v>379571.99</v>
      </c>
      <c r="F365" s="27">
        <f t="shared" si="35"/>
        <v>-1.8372178782253279E-3</v>
      </c>
      <c r="G365" s="9">
        <v>49390996.302000001</v>
      </c>
      <c r="H365" s="9">
        <v>31814.182000000001</v>
      </c>
      <c r="I365" s="24">
        <f t="shared" si="36"/>
        <v>31.814182000000002</v>
      </c>
      <c r="J365" s="24">
        <f t="shared" si="29"/>
        <v>25.68073166666667</v>
      </c>
      <c r="K365" s="11">
        <v>9769267.3049999997</v>
      </c>
      <c r="L365" s="11">
        <v>3347644.838</v>
      </c>
      <c r="M365" s="11">
        <v>107478.546</v>
      </c>
      <c r="N365" s="13"/>
      <c r="O365" s="13"/>
      <c r="P365" s="13"/>
      <c r="Q365" s="13"/>
      <c r="R365" s="23"/>
      <c r="S365" s="13"/>
      <c r="T365" s="23"/>
      <c r="U365" s="15"/>
      <c r="V365" s="15"/>
      <c r="W365" s="7"/>
      <c r="X365" s="7"/>
      <c r="Y365" s="7"/>
      <c r="Z365" s="7"/>
      <c r="AA365" s="16">
        <v>289239</v>
      </c>
      <c r="AB365" s="17">
        <f t="shared" si="30"/>
        <v>216.11161857495014</v>
      </c>
      <c r="AC365" s="27">
        <f t="shared" si="15"/>
        <v>6.9541029207242921E-4</v>
      </c>
      <c r="AD365" s="19"/>
      <c r="AE365" s="28"/>
      <c r="AF365" s="16"/>
      <c r="AG365" s="27"/>
      <c r="AH365" s="16"/>
      <c r="AI365" s="31"/>
      <c r="AJ365" s="7">
        <f t="shared" si="37"/>
        <v>1317894.43</v>
      </c>
      <c r="AK365" s="27">
        <f t="shared" si="37"/>
        <v>-1.4360620914969369E-3</v>
      </c>
    </row>
    <row r="366" spans="1:37" ht="22.5" x14ac:dyDescent="0.55000000000000004">
      <c r="A366" s="7" t="s">
        <v>1111</v>
      </c>
      <c r="B366" s="25"/>
      <c r="C366" s="7">
        <v>1311288.6000000001</v>
      </c>
      <c r="D366" s="27">
        <f t="shared" si="26"/>
        <v>-5.0124121095191931E-3</v>
      </c>
      <c r="E366" s="7">
        <v>376538.7</v>
      </c>
      <c r="F366" s="27">
        <f t="shared" si="35"/>
        <v>-7.9913430914646533E-3</v>
      </c>
      <c r="G366" s="9">
        <v>49144632.597999997</v>
      </c>
      <c r="H366" s="9">
        <v>376538.7</v>
      </c>
      <c r="I366" s="24">
        <f t="shared" si="36"/>
        <v>376.53870000000001</v>
      </c>
      <c r="J366" s="24">
        <f t="shared" si="29"/>
        <v>65.042547444444438</v>
      </c>
      <c r="K366" s="11">
        <v>9704834.5390000008</v>
      </c>
      <c r="L366" s="11">
        <v>3334093.0989999999</v>
      </c>
      <c r="M366" s="11">
        <v>33889.565000000002</v>
      </c>
      <c r="N366" s="13"/>
      <c r="O366" s="13"/>
      <c r="P366" s="13"/>
      <c r="Q366" s="13"/>
      <c r="R366" s="23"/>
      <c r="S366" s="13"/>
      <c r="T366" s="23"/>
      <c r="U366" s="15"/>
      <c r="V366" s="15"/>
      <c r="W366" s="7"/>
      <c r="X366" s="7"/>
      <c r="Y366" s="7"/>
      <c r="Z366" s="7"/>
      <c r="AA366" s="16">
        <v>289239</v>
      </c>
      <c r="AB366" s="17">
        <f t="shared" si="30"/>
        <v>214.99023380664434</v>
      </c>
      <c r="AC366" s="27">
        <f t="shared" si="15"/>
        <v>0</v>
      </c>
      <c r="AD366" s="19">
        <v>19121</v>
      </c>
      <c r="AE366" s="28"/>
      <c r="AF366" s="16">
        <v>150710000</v>
      </c>
      <c r="AG366" s="27"/>
      <c r="AH366" s="16">
        <v>13556000</v>
      </c>
      <c r="AI366" s="31"/>
      <c r="AJ366" s="7">
        <f t="shared" si="37"/>
        <v>1311288.6000000001</v>
      </c>
      <c r="AK366" s="27">
        <f t="shared" si="37"/>
        <v>-5.0124121095191931E-3</v>
      </c>
    </row>
    <row r="367" spans="1:37" ht="22.5" x14ac:dyDescent="0.55000000000000004">
      <c r="A367" s="7" t="s">
        <v>1112</v>
      </c>
      <c r="B367" s="25">
        <v>0.64583333333333337</v>
      </c>
      <c r="C367" s="7">
        <v>1311091.23</v>
      </c>
      <c r="D367" s="27">
        <f t="shared" si="26"/>
        <v>-1.5051606488469815E-4</v>
      </c>
      <c r="E367" s="7">
        <v>376205.31</v>
      </c>
      <c r="F367" s="27">
        <f t="shared" si="35"/>
        <v>-8.8540699800576661E-4</v>
      </c>
      <c r="G367" s="9">
        <v>49134446.516999997</v>
      </c>
      <c r="H367" s="9">
        <v>22950.902999999998</v>
      </c>
      <c r="I367" s="24">
        <f t="shared" si="36"/>
        <v>22.950902999999997</v>
      </c>
      <c r="J367" s="24">
        <f t="shared" si="29"/>
        <v>65.373063999999999</v>
      </c>
      <c r="K367" s="11">
        <v>9683255.943</v>
      </c>
      <c r="L367" s="11">
        <v>3322142.5260000001</v>
      </c>
      <c r="M367" s="11">
        <v>1381153.3759999999</v>
      </c>
      <c r="N367" s="13">
        <v>2004</v>
      </c>
      <c r="O367" s="13">
        <f>161+187</f>
        <v>348</v>
      </c>
      <c r="P367" s="13">
        <f>205+210</f>
        <v>415</v>
      </c>
      <c r="Q367" s="13">
        <v>46</v>
      </c>
      <c r="R367" s="23">
        <v>1.17</v>
      </c>
      <c r="S367" s="13">
        <v>56</v>
      </c>
      <c r="T367" s="23">
        <v>1.23</v>
      </c>
      <c r="U367" s="15" t="s">
        <v>1113</v>
      </c>
      <c r="V367" s="15" t="s">
        <v>1114</v>
      </c>
      <c r="W367" s="7">
        <v>-169</v>
      </c>
      <c r="X367" s="7"/>
      <c r="Y367" s="7"/>
      <c r="Z367" s="7"/>
      <c r="AA367" s="16">
        <v>289239</v>
      </c>
      <c r="AB367" s="17">
        <f t="shared" si="30"/>
        <v>214.8390949560744</v>
      </c>
      <c r="AC367" s="27">
        <f t="shared" si="15"/>
        <v>0</v>
      </c>
      <c r="AD367" s="19">
        <v>19474</v>
      </c>
      <c r="AE367" s="28">
        <f t="shared" si="31"/>
        <v>1.8461377543015578E-2</v>
      </c>
      <c r="AF367" s="16">
        <v>150240000</v>
      </c>
      <c r="AG367" s="27">
        <f t="shared" si="33"/>
        <v>-3.1185720920974269E-3</v>
      </c>
      <c r="AH367" s="16">
        <v>13515000</v>
      </c>
      <c r="AI367" s="31">
        <f t="shared" ref="AI367:AI397" si="38">(AH367/AH366)-1</f>
        <v>-3.0244910002951153E-3</v>
      </c>
      <c r="AJ367" s="7">
        <f t="shared" si="37"/>
        <v>1311091.23</v>
      </c>
      <c r="AK367" s="27">
        <f t="shared" si="37"/>
        <v>-1.5051606488469815E-4</v>
      </c>
    </row>
    <row r="368" spans="1:37" ht="22.5" x14ac:dyDescent="0.55000000000000004">
      <c r="A368" s="7" t="s">
        <v>1115</v>
      </c>
      <c r="B368" s="25"/>
      <c r="C368" s="7">
        <v>1312562.3799999999</v>
      </c>
      <c r="D368" s="27">
        <f t="shared" si="26"/>
        <v>1.1220805740572715E-3</v>
      </c>
      <c r="E368" s="7">
        <v>377943.32</v>
      </c>
      <c r="F368" s="27">
        <f t="shared" si="35"/>
        <v>4.6198444142109274E-3</v>
      </c>
      <c r="G368" s="9">
        <v>49192290.153999999</v>
      </c>
      <c r="H368" s="9">
        <v>27963.087</v>
      </c>
      <c r="I368" s="24">
        <f t="shared" si="36"/>
        <v>27.963086999999998</v>
      </c>
      <c r="J368" s="24">
        <f t="shared" si="29"/>
        <v>65.168764999999993</v>
      </c>
      <c r="K368" s="11">
        <v>9711366.2190000005</v>
      </c>
      <c r="L368" s="11">
        <v>3320753.8990000002</v>
      </c>
      <c r="M368" s="11">
        <v>38002.675999999999</v>
      </c>
      <c r="N368" s="13">
        <v>1856</v>
      </c>
      <c r="O368" s="13">
        <f>214+169</f>
        <v>383</v>
      </c>
      <c r="P368" s="13">
        <f>131+177</f>
        <v>308</v>
      </c>
      <c r="Q368" s="13">
        <v>62</v>
      </c>
      <c r="R368" s="23">
        <v>1.29</v>
      </c>
      <c r="S368" s="13">
        <v>48</v>
      </c>
      <c r="T368" s="23">
        <v>1.22</v>
      </c>
      <c r="U368" s="15" t="s">
        <v>1116</v>
      </c>
      <c r="V368" s="15" t="s">
        <v>1117</v>
      </c>
      <c r="W368" s="7">
        <v>-95</v>
      </c>
      <c r="X368" s="7"/>
      <c r="Y368" s="7"/>
      <c r="Z368" s="7"/>
      <c r="AA368" s="16">
        <v>289239</v>
      </c>
      <c r="AB368" s="17">
        <f t="shared" si="30"/>
        <v>215.13146661411497</v>
      </c>
      <c r="AC368" s="27">
        <f t="shared" si="15"/>
        <v>0</v>
      </c>
      <c r="AD368" s="19">
        <v>19577</v>
      </c>
      <c r="AE368" s="28">
        <f t="shared" ref="AE368:AE397" si="39">(AD368/AD367)-1</f>
        <v>5.2891034199444853E-3</v>
      </c>
      <c r="AF368" s="16">
        <v>149460000</v>
      </c>
      <c r="AG368" s="27">
        <f t="shared" si="33"/>
        <v>-5.1916932907348778E-3</v>
      </c>
      <c r="AH368" s="16">
        <v>13427000</v>
      </c>
      <c r="AI368" s="31">
        <f t="shared" si="38"/>
        <v>-6.5112837587865124E-3</v>
      </c>
      <c r="AJ368" s="7">
        <f t="shared" si="37"/>
        <v>1312562.3799999999</v>
      </c>
      <c r="AK368" s="27">
        <f t="shared" si="37"/>
        <v>1.1220805740572715E-3</v>
      </c>
    </row>
    <row r="369" spans="1:37" ht="22.5" x14ac:dyDescent="0.55000000000000004">
      <c r="A369" s="7" t="s">
        <v>1118</v>
      </c>
      <c r="B369" s="25">
        <v>0.65625</v>
      </c>
      <c r="C369" s="7">
        <v>1310165.8899999999</v>
      </c>
      <c r="D369" s="27">
        <f t="shared" si="26"/>
        <v>-1.8258103664375858E-3</v>
      </c>
      <c r="E369" s="7">
        <v>378594.7</v>
      </c>
      <c r="F369" s="27">
        <f t="shared" si="35"/>
        <v>1.7234859449295481E-3</v>
      </c>
      <c r="G369" s="9">
        <v>49102821.226999998</v>
      </c>
      <c r="H369" s="9">
        <v>27763.254000000001</v>
      </c>
      <c r="I369" s="24">
        <f t="shared" si="36"/>
        <v>27.763254</v>
      </c>
      <c r="J369" s="24">
        <f t="shared" si="29"/>
        <v>64.654308333333319</v>
      </c>
      <c r="K369" s="11">
        <v>9714476.7750000004</v>
      </c>
      <c r="L369" s="11">
        <v>3322185.3709999998</v>
      </c>
      <c r="M369" s="11">
        <v>193509.22700000001</v>
      </c>
      <c r="N369" s="13">
        <v>1544</v>
      </c>
      <c r="O369" s="13">
        <f>119+179</f>
        <v>298</v>
      </c>
      <c r="P369" s="13">
        <f>204+167</f>
        <v>371</v>
      </c>
      <c r="Q369" s="13">
        <v>71</v>
      </c>
      <c r="R369" s="23">
        <v>1.63</v>
      </c>
      <c r="S369" s="13">
        <v>42</v>
      </c>
      <c r="T369" s="23">
        <v>0.90500000000000003</v>
      </c>
      <c r="U369" s="15" t="s">
        <v>1119</v>
      </c>
      <c r="V369" s="15" t="s">
        <v>1120</v>
      </c>
      <c r="W369" s="7">
        <v>-149</v>
      </c>
      <c r="X369" s="7"/>
      <c r="Y369" s="7"/>
      <c r="Z369" s="7"/>
      <c r="AA369" s="16">
        <v>289340</v>
      </c>
      <c r="AB369" s="17">
        <f t="shared" si="30"/>
        <v>214.76285122347409</v>
      </c>
      <c r="AC369" s="27">
        <f t="shared" si="15"/>
        <v>3.4919219054141415E-4</v>
      </c>
      <c r="AD369" s="19">
        <v>19183</v>
      </c>
      <c r="AE369" s="28">
        <f t="shared" si="39"/>
        <v>-2.0125657659498364E-2</v>
      </c>
      <c r="AF369" s="16">
        <v>148990000</v>
      </c>
      <c r="AG369" s="27">
        <f t="shared" si="33"/>
        <v>-3.1446540880503138E-3</v>
      </c>
      <c r="AH369" s="16">
        <v>13420000</v>
      </c>
      <c r="AI369" s="31">
        <f t="shared" si="38"/>
        <v>-5.213376033366135E-4</v>
      </c>
      <c r="AJ369" s="7">
        <f t="shared" si="37"/>
        <v>1310165.8899999999</v>
      </c>
      <c r="AK369" s="27">
        <f t="shared" si="37"/>
        <v>-1.8258103664375858E-3</v>
      </c>
    </row>
    <row r="370" spans="1:37" ht="22.5" x14ac:dyDescent="0.55000000000000004">
      <c r="A370" s="7" t="s">
        <v>1121</v>
      </c>
      <c r="B370" s="25">
        <v>0.6875</v>
      </c>
      <c r="C370" s="7">
        <v>1308946.7</v>
      </c>
      <c r="D370" s="27">
        <f t="shared" si="26"/>
        <v>-9.3056154896531407E-4</v>
      </c>
      <c r="E370" s="7">
        <v>378994.98</v>
      </c>
      <c r="F370" s="27">
        <f t="shared" si="35"/>
        <v>1.0572784035274285E-3</v>
      </c>
      <c r="G370" s="9">
        <v>49055969.980999999</v>
      </c>
      <c r="H370" s="9">
        <v>27969.054</v>
      </c>
      <c r="I370" s="24">
        <f t="shared" si="36"/>
        <v>27.969054</v>
      </c>
      <c r="J370" s="24">
        <f t="shared" si="29"/>
        <v>65.388198777777774</v>
      </c>
      <c r="K370" s="11">
        <v>9713361.0500000007</v>
      </c>
      <c r="L370" s="11">
        <v>3331257.1069999998</v>
      </c>
      <c r="M370" s="11">
        <v>153152.274</v>
      </c>
      <c r="N370" s="13">
        <v>2190</v>
      </c>
      <c r="O370" s="13">
        <f>139+162</f>
        <v>301</v>
      </c>
      <c r="P370" s="13">
        <f>160+221</f>
        <v>381</v>
      </c>
      <c r="Q370" s="13">
        <v>83</v>
      </c>
      <c r="R370" s="23">
        <v>2</v>
      </c>
      <c r="S370" s="13">
        <v>41</v>
      </c>
      <c r="T370" s="23">
        <v>0.58399999999999996</v>
      </c>
      <c r="U370" s="15" t="s">
        <v>1122</v>
      </c>
      <c r="V370" s="15" t="s">
        <v>1123</v>
      </c>
      <c r="W370" s="7">
        <v>-115</v>
      </c>
      <c r="X370" s="7"/>
      <c r="Y370" s="7"/>
      <c r="Z370" s="7"/>
      <c r="AA370" s="16">
        <v>289340</v>
      </c>
      <c r="AB370" s="17">
        <f t="shared" si="30"/>
        <v>214.62842378516623</v>
      </c>
      <c r="AC370" s="27">
        <f t="shared" si="15"/>
        <v>0</v>
      </c>
      <c r="AD370" s="19">
        <v>19192</v>
      </c>
      <c r="AE370" s="28">
        <f t="shared" si="39"/>
        <v>4.6916540687069741E-4</v>
      </c>
      <c r="AF370" s="16">
        <v>149720000</v>
      </c>
      <c r="AG370" s="27">
        <f t="shared" si="33"/>
        <v>4.8996576951472193E-3</v>
      </c>
      <c r="AH370" s="16">
        <v>13536000</v>
      </c>
      <c r="AI370" s="31">
        <f t="shared" si="38"/>
        <v>8.6438152011922842E-3</v>
      </c>
      <c r="AJ370" s="7">
        <f t="shared" si="37"/>
        <v>1308946.7</v>
      </c>
      <c r="AK370" s="27">
        <f t="shared" si="37"/>
        <v>-9.3056154896531407E-4</v>
      </c>
    </row>
    <row r="371" spans="1:37" ht="22.5" x14ac:dyDescent="0.55000000000000004">
      <c r="A371" s="7" t="s">
        <v>1124</v>
      </c>
      <c r="B371" s="25">
        <v>0.67708333333333337</v>
      </c>
      <c r="C371" s="7">
        <v>1296794.0900000001</v>
      </c>
      <c r="D371" s="27">
        <f t="shared" si="26"/>
        <v>-9.2842665022188076E-3</v>
      </c>
      <c r="E371" s="7">
        <v>377696.27</v>
      </c>
      <c r="F371" s="27">
        <f t="shared" si="35"/>
        <v>-3.4267208499699775E-3</v>
      </c>
      <c r="G371" s="9">
        <v>48122105.174000002</v>
      </c>
      <c r="H371" s="9">
        <v>23983.546999999999</v>
      </c>
      <c r="I371" s="24">
        <f t="shared" si="36"/>
        <v>23.983546999999998</v>
      </c>
      <c r="J371" s="24">
        <f t="shared" si="29"/>
        <v>65.925020777777775</v>
      </c>
      <c r="K371" s="11">
        <v>9684724.6679999996</v>
      </c>
      <c r="L371" s="11">
        <v>3327970.4890000001</v>
      </c>
      <c r="M371" s="11">
        <v>141111.41500000001</v>
      </c>
      <c r="N371" s="13">
        <v>2315</v>
      </c>
      <c r="O371" s="13">
        <f>118+108</f>
        <v>226</v>
      </c>
      <c r="P371" s="13">
        <f>195+267</f>
        <v>462</v>
      </c>
      <c r="Q371" s="13">
        <v>56</v>
      </c>
      <c r="R371" s="23">
        <v>1.58</v>
      </c>
      <c r="S371" s="13">
        <v>56</v>
      </c>
      <c r="T371" s="23">
        <v>0.95</v>
      </c>
      <c r="U371" s="15" t="s">
        <v>1125</v>
      </c>
      <c r="V371" s="15" t="s">
        <v>1126</v>
      </c>
      <c r="W371" s="7">
        <v>-220</v>
      </c>
      <c r="X371" s="7"/>
      <c r="Y371" s="7"/>
      <c r="Z371" s="7"/>
      <c r="AA371" s="16">
        <v>289440</v>
      </c>
      <c r="AB371" s="17">
        <f t="shared" si="30"/>
        <v>211.21752463723053</v>
      </c>
      <c r="AC371" s="27">
        <f t="shared" si="15"/>
        <v>3.4561415635581128E-4</v>
      </c>
      <c r="AD371" s="19">
        <v>19127</v>
      </c>
      <c r="AE371" s="28">
        <f t="shared" si="39"/>
        <v>-3.3868278449353806E-3</v>
      </c>
      <c r="AF371" s="16">
        <v>149570000</v>
      </c>
      <c r="AG371" s="27">
        <f t="shared" si="33"/>
        <v>-1.0018701576275379E-3</v>
      </c>
      <c r="AH371" s="16">
        <v>13457000</v>
      </c>
      <c r="AI371" s="31">
        <f t="shared" si="38"/>
        <v>-5.8362884160756412E-3</v>
      </c>
      <c r="AJ371" s="7">
        <f t="shared" si="37"/>
        <v>1296794.0900000001</v>
      </c>
      <c r="AK371" s="27">
        <f t="shared" si="37"/>
        <v>-9.2842665022188076E-3</v>
      </c>
    </row>
    <row r="372" spans="1:37" ht="22.5" x14ac:dyDescent="0.55000000000000004">
      <c r="A372" s="7" t="s">
        <v>1127</v>
      </c>
      <c r="B372" s="25">
        <v>0.67708333333333337</v>
      </c>
      <c r="C372" s="7">
        <v>1277733.92</v>
      </c>
      <c r="D372" s="27">
        <f t="shared" si="26"/>
        <v>-1.4697915534146344E-2</v>
      </c>
      <c r="E372" s="7">
        <v>373237.75</v>
      </c>
      <c r="F372" s="27">
        <f t="shared" si="35"/>
        <v>-1.1804511598698109E-2</v>
      </c>
      <c r="G372" s="9">
        <v>47417491.659999996</v>
      </c>
      <c r="H372" s="9">
        <v>22425.875</v>
      </c>
      <c r="I372" s="24">
        <f t="shared" si="36"/>
        <v>22.425875000000001</v>
      </c>
      <c r="J372" s="24">
        <f t="shared" si="29"/>
        <v>65.628090333333333</v>
      </c>
      <c r="K372" s="11">
        <v>9612827.4140000008</v>
      </c>
      <c r="L372" s="11">
        <v>3315989.412</v>
      </c>
      <c r="M372" s="11">
        <v>1452267.1229999999</v>
      </c>
      <c r="N372" s="13">
        <v>2421</v>
      </c>
      <c r="O372" s="13">
        <f>68+98</f>
        <v>166</v>
      </c>
      <c r="P372" s="13">
        <f>256+332</f>
        <v>588</v>
      </c>
      <c r="Q372" s="13">
        <v>44</v>
      </c>
      <c r="R372" s="23">
        <v>1.06</v>
      </c>
      <c r="S372" s="13">
        <v>80</v>
      </c>
      <c r="T372" s="23">
        <v>1.61</v>
      </c>
      <c r="U372" s="15" t="s">
        <v>1128</v>
      </c>
      <c r="V372" s="15" t="s">
        <v>1129</v>
      </c>
      <c r="W372" s="7">
        <v>-276</v>
      </c>
      <c r="X372" s="7"/>
      <c r="Y372" s="7"/>
      <c r="Z372" s="7"/>
      <c r="AA372" s="16">
        <v>289440</v>
      </c>
      <c r="AB372" s="17">
        <f t="shared" si="30"/>
        <v>208.49332672056386</v>
      </c>
      <c r="AC372" s="27">
        <f t="shared" si="15"/>
        <v>0</v>
      </c>
      <c r="AD372" s="19">
        <v>19356</v>
      </c>
      <c r="AE372" s="28">
        <f t="shared" si="39"/>
        <v>1.1972604172112655E-2</v>
      </c>
      <c r="AF372" s="16">
        <v>148780000</v>
      </c>
      <c r="AG372" s="27">
        <f t="shared" si="33"/>
        <v>-5.2818078491676523E-3</v>
      </c>
      <c r="AH372" s="16">
        <v>13383000</v>
      </c>
      <c r="AI372" s="31">
        <f t="shared" si="38"/>
        <v>-5.4989968046369464E-3</v>
      </c>
      <c r="AJ372" s="7">
        <f t="shared" si="37"/>
        <v>1277733.92</v>
      </c>
      <c r="AK372" s="27">
        <f t="shared" si="37"/>
        <v>-1.4697915534146344E-2</v>
      </c>
    </row>
    <row r="373" spans="1:37" ht="22.5" x14ac:dyDescent="0.55000000000000004">
      <c r="A373" s="7" t="s">
        <v>1130</v>
      </c>
      <c r="B373" s="25">
        <v>0.64583333333333337</v>
      </c>
      <c r="C373" s="7">
        <v>1267059.32</v>
      </c>
      <c r="D373" s="27">
        <f t="shared" si="26"/>
        <v>-8.3543215319821229E-3</v>
      </c>
      <c r="E373" s="7">
        <v>369666.45</v>
      </c>
      <c r="F373" s="27">
        <f t="shared" si="35"/>
        <v>-9.568431917725384E-3</v>
      </c>
      <c r="G373" s="9">
        <v>47022895.667999998</v>
      </c>
      <c r="H373" s="9">
        <v>24338.988000000001</v>
      </c>
      <c r="I373" s="24">
        <f t="shared" si="36"/>
        <v>24.338988000000001</v>
      </c>
      <c r="J373" s="24">
        <f t="shared" si="29"/>
        <v>65.083065555555564</v>
      </c>
      <c r="K373" s="11">
        <v>9521669.9440000001</v>
      </c>
      <c r="L373" s="11">
        <v>3283506.875</v>
      </c>
      <c r="M373" s="11">
        <v>85743.38</v>
      </c>
      <c r="N373" s="13">
        <v>2296</v>
      </c>
      <c r="O373" s="13">
        <f>69+86</f>
        <v>155</v>
      </c>
      <c r="P373" s="13">
        <f>213+334</f>
        <v>547</v>
      </c>
      <c r="Q373" s="13">
        <v>32</v>
      </c>
      <c r="R373" s="23">
        <v>0.87</v>
      </c>
      <c r="S373" s="13">
        <v>81</v>
      </c>
      <c r="T373" s="23">
        <v>1.46</v>
      </c>
      <c r="U373" s="15" t="s">
        <v>1131</v>
      </c>
      <c r="V373" s="15" t="s">
        <v>1132</v>
      </c>
      <c r="W373" s="7">
        <v>-412</v>
      </c>
      <c r="X373" s="7"/>
      <c r="Y373" s="7"/>
      <c r="Z373" s="7"/>
      <c r="AA373" s="16">
        <v>289440</v>
      </c>
      <c r="AB373" s="17">
        <f t="shared" si="30"/>
        <v>206.70284855928688</v>
      </c>
      <c r="AC373" s="27">
        <f t="shared" si="15"/>
        <v>0</v>
      </c>
      <c r="AD373" s="19">
        <v>19306</v>
      </c>
      <c r="AE373" s="28">
        <f t="shared" si="39"/>
        <v>-2.5831783426327748E-3</v>
      </c>
      <c r="AF373" s="16">
        <v>149170000</v>
      </c>
      <c r="AG373" s="27">
        <f t="shared" si="33"/>
        <v>2.6213200699019001E-3</v>
      </c>
      <c r="AH373" s="16">
        <v>13446000</v>
      </c>
      <c r="AI373" s="31">
        <f t="shared" si="38"/>
        <v>4.7074646940148401E-3</v>
      </c>
      <c r="AJ373" s="7">
        <f t="shared" si="37"/>
        <v>1267059.32</v>
      </c>
      <c r="AK373" s="27">
        <f t="shared" si="37"/>
        <v>-8.3543215319821229E-3</v>
      </c>
    </row>
    <row r="374" spans="1:37" ht="22.5" x14ac:dyDescent="0.55000000000000004">
      <c r="A374" s="7" t="s">
        <v>1133</v>
      </c>
      <c r="B374" s="25">
        <v>0.66666666666666663</v>
      </c>
      <c r="C374" s="7">
        <v>1241038.43</v>
      </c>
      <c r="D374" s="27">
        <f t="shared" si="26"/>
        <v>-2.0536441813947648E-2</v>
      </c>
      <c r="E374" s="7">
        <v>361357.16</v>
      </c>
      <c r="F374" s="27">
        <f t="shared" si="35"/>
        <v>-2.2477803977071886E-2</v>
      </c>
      <c r="G374" s="9">
        <v>46055425.538999997</v>
      </c>
      <c r="H374" s="9">
        <v>52886.718999999997</v>
      </c>
      <c r="I374" s="24">
        <f t="shared" si="36"/>
        <v>52.886718999999999</v>
      </c>
      <c r="J374" s="24">
        <f t="shared" si="29"/>
        <v>67.424458555555532</v>
      </c>
      <c r="K374" s="11">
        <v>9371236.8289999999</v>
      </c>
      <c r="L374" s="11">
        <v>3256994.2940000002</v>
      </c>
      <c r="M374" s="11">
        <v>104683.073</v>
      </c>
      <c r="N374" s="13">
        <v>2801</v>
      </c>
      <c r="O374" s="13">
        <f>37+82</f>
        <v>119</v>
      </c>
      <c r="P374" s="13">
        <f>371+211</f>
        <v>582</v>
      </c>
      <c r="Q374" s="13">
        <v>21</v>
      </c>
      <c r="R374" s="23">
        <v>0.44</v>
      </c>
      <c r="S374" s="13">
        <v>180</v>
      </c>
      <c r="T374" s="23">
        <v>2.84</v>
      </c>
      <c r="U374" s="15" t="s">
        <v>1134</v>
      </c>
      <c r="V374" s="15" t="s">
        <v>1135</v>
      </c>
      <c r="W374" s="7">
        <v>-733</v>
      </c>
      <c r="X374" s="7"/>
      <c r="Y374" s="7"/>
      <c r="Z374" s="7"/>
      <c r="AA374" s="16">
        <v>289541</v>
      </c>
      <c r="AB374" s="17">
        <f t="shared" si="30"/>
        <v>202.678227477283</v>
      </c>
      <c r="AC374" s="27">
        <f t="shared" si="15"/>
        <v>3.4894969596455105E-4</v>
      </c>
      <c r="AD374" s="19">
        <v>20537</v>
      </c>
      <c r="AE374" s="28">
        <f t="shared" si="39"/>
        <v>6.3762560861908124E-2</v>
      </c>
      <c r="AF374" s="16">
        <v>148930000</v>
      </c>
      <c r="AG374" s="27">
        <f t="shared" si="33"/>
        <v>-1.6089025943554214E-3</v>
      </c>
      <c r="AH374" s="16">
        <v>13566000</v>
      </c>
      <c r="AI374" s="31">
        <f t="shared" si="38"/>
        <v>8.9245872378402868E-3</v>
      </c>
      <c r="AJ374" s="7">
        <f t="shared" si="37"/>
        <v>1241038.43</v>
      </c>
      <c r="AK374" s="27">
        <f t="shared" si="37"/>
        <v>-2.0536441813947648E-2</v>
      </c>
    </row>
    <row r="375" spans="1:37" ht="22.5" x14ac:dyDescent="0.55000000000000004">
      <c r="A375" s="7" t="s">
        <v>1136</v>
      </c>
      <c r="B375" s="25">
        <v>0.66666666666666663</v>
      </c>
      <c r="C375" s="7">
        <v>1244632</v>
      </c>
      <c r="D375" s="27">
        <f t="shared" si="26"/>
        <v>2.895615408138541E-3</v>
      </c>
      <c r="E375" s="7">
        <v>358143.69</v>
      </c>
      <c r="F375" s="27">
        <f t="shared" si="35"/>
        <v>-8.8927807601764108E-3</v>
      </c>
      <c r="G375" s="9">
        <v>46186776.828000002</v>
      </c>
      <c r="H375" s="9">
        <v>38898.813999999998</v>
      </c>
      <c r="I375" s="24">
        <f t="shared" si="36"/>
        <v>38.898814000000002</v>
      </c>
      <c r="J375" s="24">
        <f t="shared" si="29"/>
        <v>29.908915666666662</v>
      </c>
      <c r="K375" s="11">
        <v>9334007.1669999994</v>
      </c>
      <c r="L375" s="11">
        <v>3236882.1310000001</v>
      </c>
      <c r="M375" s="11">
        <v>105853.87</v>
      </c>
      <c r="N375" s="13">
        <v>2804</v>
      </c>
      <c r="O375" s="13">
        <f>111+95</f>
        <v>206</v>
      </c>
      <c r="P375" s="13">
        <f>203+279</f>
        <v>482</v>
      </c>
      <c r="Q375" s="13">
        <v>19</v>
      </c>
      <c r="R375" s="23">
        <v>0.21</v>
      </c>
      <c r="S375" s="13">
        <v>147</v>
      </c>
      <c r="T375" s="23">
        <v>2.78</v>
      </c>
      <c r="U375" s="15" t="s">
        <v>1137</v>
      </c>
      <c r="V375" s="15" t="s">
        <v>1138</v>
      </c>
      <c r="W375" s="7">
        <v>-959</v>
      </c>
      <c r="X375" s="7"/>
      <c r="Y375" s="7"/>
      <c r="Z375" s="7"/>
      <c r="AA375" s="16">
        <v>289641</v>
      </c>
      <c r="AB375" s="17">
        <f t="shared" si="30"/>
        <v>202.86377317437794</v>
      </c>
      <c r="AC375" s="27">
        <f t="shared" si="15"/>
        <v>3.4537423024727509E-4</v>
      </c>
      <c r="AD375" s="19">
        <v>20740</v>
      </c>
      <c r="AE375" s="28">
        <f t="shared" si="39"/>
        <v>9.8845985294833127E-3</v>
      </c>
      <c r="AF375" s="16">
        <v>149630000</v>
      </c>
      <c r="AG375" s="27">
        <f t="shared" si="33"/>
        <v>4.7001947223528351E-3</v>
      </c>
      <c r="AH375" s="16">
        <v>13506000</v>
      </c>
      <c r="AI375" s="31">
        <f t="shared" si="38"/>
        <v>-4.4228217602830799E-3</v>
      </c>
      <c r="AJ375" s="7">
        <f t="shared" si="37"/>
        <v>1244632</v>
      </c>
      <c r="AK375" s="27">
        <f t="shared" si="37"/>
        <v>2.895615408138541E-3</v>
      </c>
    </row>
    <row r="376" spans="1:37" ht="22.5" x14ac:dyDescent="0.55000000000000004">
      <c r="A376" s="7" t="s">
        <v>1139</v>
      </c>
      <c r="B376" s="25">
        <v>0.625</v>
      </c>
      <c r="C376" s="7">
        <v>1254464.77</v>
      </c>
      <c r="D376" s="27">
        <f t="shared" si="26"/>
        <v>7.9001423713997987E-3</v>
      </c>
      <c r="E376" s="7">
        <v>356241.14</v>
      </c>
      <c r="F376" s="27">
        <f t="shared" si="35"/>
        <v>-5.3122533025780072E-3</v>
      </c>
      <c r="G376" s="9">
        <v>46554425.751000002</v>
      </c>
      <c r="H376" s="9">
        <v>33272.269999999997</v>
      </c>
      <c r="I376" s="24">
        <f t="shared" si="36"/>
        <v>33.272269999999999</v>
      </c>
      <c r="J376" s="24">
        <f t="shared" si="29"/>
        <v>31.05573422222222</v>
      </c>
      <c r="K376" s="11">
        <v>9340307.3100000005</v>
      </c>
      <c r="L376" s="11">
        <v>3214196.892</v>
      </c>
      <c r="M376" s="11">
        <v>62404.733999999997</v>
      </c>
      <c r="N376" s="13">
        <v>2495</v>
      </c>
      <c r="O376" s="13">
        <f>190+254</f>
        <v>444</v>
      </c>
      <c r="P376" s="13">
        <f>146+110</f>
        <v>256</v>
      </c>
      <c r="Q376" s="13">
        <v>17</v>
      </c>
      <c r="R376" s="23">
        <v>0.222</v>
      </c>
      <c r="S376" s="13">
        <v>101</v>
      </c>
      <c r="T376" s="23">
        <v>2.82</v>
      </c>
      <c r="U376" s="15" t="s">
        <v>1140</v>
      </c>
      <c r="V376" s="15" t="s">
        <v>1141</v>
      </c>
      <c r="W376" s="7">
        <v>-556</v>
      </c>
      <c r="X376" s="7"/>
      <c r="Y376" s="7"/>
      <c r="Z376" s="7"/>
      <c r="AA376" s="16">
        <v>289641</v>
      </c>
      <c r="AB376" s="17">
        <f t="shared" si="30"/>
        <v>204.07652905838609</v>
      </c>
      <c r="AC376" s="27">
        <f t="shared" si="15"/>
        <v>0</v>
      </c>
      <c r="AD376" s="19">
        <v>20698</v>
      </c>
      <c r="AE376" s="28">
        <f t="shared" si="39"/>
        <v>-2.025072324011612E-3</v>
      </c>
      <c r="AF376" s="16">
        <v>149990000</v>
      </c>
      <c r="AG376" s="27">
        <f t="shared" si="33"/>
        <v>2.4059346387756975E-3</v>
      </c>
      <c r="AH376" s="16">
        <v>13533000</v>
      </c>
      <c r="AI376" s="31">
        <f t="shared" si="38"/>
        <v>1.9991115059974085E-3</v>
      </c>
      <c r="AJ376" s="7">
        <f t="shared" si="37"/>
        <v>1254464.77</v>
      </c>
      <c r="AK376" s="27">
        <f t="shared" si="37"/>
        <v>7.9001423713997987E-3</v>
      </c>
    </row>
    <row r="377" spans="1:37" ht="22.5" x14ac:dyDescent="0.55000000000000004">
      <c r="A377" s="7" t="s">
        <v>1142</v>
      </c>
      <c r="B377" s="25">
        <v>0.61458333333333337</v>
      </c>
      <c r="C377" s="7">
        <v>1269833.3899999999</v>
      </c>
      <c r="D377" s="27">
        <f t="shared" si="26"/>
        <v>1.2251137192158756E-2</v>
      </c>
      <c r="E377" s="7">
        <v>360816.49</v>
      </c>
      <c r="F377" s="27">
        <f t="shared" si="35"/>
        <v>1.2843407137086871E-2</v>
      </c>
      <c r="G377" s="9">
        <v>47122088.403999999</v>
      </c>
      <c r="H377" s="9">
        <v>38065.945</v>
      </c>
      <c r="I377" s="24">
        <f t="shared" si="36"/>
        <v>38.065944999999999</v>
      </c>
      <c r="J377" s="24">
        <f t="shared" si="29"/>
        <v>32.178274000000002</v>
      </c>
      <c r="K377" s="11">
        <v>9438507.9189999998</v>
      </c>
      <c r="L377" s="11">
        <v>3216179.1090000002</v>
      </c>
      <c r="M377" s="11">
        <v>1379163.68</v>
      </c>
      <c r="N377" s="13">
        <v>2501</v>
      </c>
      <c r="O377" s="13">
        <f>366+236</f>
        <v>602</v>
      </c>
      <c r="P377" s="13">
        <f>119+40</f>
        <v>159</v>
      </c>
      <c r="Q377" s="13">
        <v>132</v>
      </c>
      <c r="R377" s="23">
        <v>1.6</v>
      </c>
      <c r="S377" s="13">
        <v>60</v>
      </c>
      <c r="T377" s="23">
        <v>1.18</v>
      </c>
      <c r="U377" s="15" t="s">
        <v>1143</v>
      </c>
      <c r="V377" s="15" t="s">
        <v>1144</v>
      </c>
      <c r="W377" s="7">
        <v>-72</v>
      </c>
      <c r="X377" s="7"/>
      <c r="Y377" s="7"/>
      <c r="Z377" s="7"/>
      <c r="AA377" s="16">
        <v>289641</v>
      </c>
      <c r="AB377" s="17">
        <f t="shared" si="30"/>
        <v>206.38229888724317</v>
      </c>
      <c r="AC377" s="27">
        <f t="shared" si="15"/>
        <v>0</v>
      </c>
      <c r="AD377" s="19">
        <v>20765</v>
      </c>
      <c r="AE377" s="28">
        <f t="shared" si="39"/>
        <v>3.2370277321480678E-3</v>
      </c>
      <c r="AF377" s="16">
        <v>152640000</v>
      </c>
      <c r="AG377" s="27">
        <f t="shared" si="33"/>
        <v>1.7667844522968101E-2</v>
      </c>
      <c r="AH377" s="16">
        <v>13607000</v>
      </c>
      <c r="AI377" s="31">
        <f t="shared" si="38"/>
        <v>5.4681149782014327E-3</v>
      </c>
      <c r="AJ377" s="7">
        <f t="shared" si="37"/>
        <v>1269833.3899999999</v>
      </c>
      <c r="AK377" s="27">
        <f t="shared" si="37"/>
        <v>1.2251137192158756E-2</v>
      </c>
    </row>
    <row r="378" spans="1:37" ht="22.5" x14ac:dyDescent="0.55000000000000004">
      <c r="A378" s="7" t="s">
        <v>1145</v>
      </c>
      <c r="B378" s="25">
        <v>0.64583333333333337</v>
      </c>
      <c r="C378" s="7">
        <v>1280461.92</v>
      </c>
      <c r="D378" s="27">
        <f t="shared" si="26"/>
        <v>8.3700193141085233E-3</v>
      </c>
      <c r="E378" s="7">
        <v>365060.18</v>
      </c>
      <c r="F378" s="27">
        <f t="shared" si="35"/>
        <v>1.1761352703142824E-2</v>
      </c>
      <c r="G378" s="9">
        <v>47519535.423</v>
      </c>
      <c r="H378" s="9">
        <v>28274.817999999999</v>
      </c>
      <c r="I378" s="24">
        <f t="shared" si="36"/>
        <v>28.274818</v>
      </c>
      <c r="J378" s="24">
        <f t="shared" si="29"/>
        <v>32.235114444444442</v>
      </c>
      <c r="K378" s="11">
        <v>9465567.0690000001</v>
      </c>
      <c r="L378" s="11">
        <v>3222317.5630000001</v>
      </c>
      <c r="M378" s="11">
        <v>28833.538</v>
      </c>
      <c r="N378" s="13">
        <v>2447</v>
      </c>
      <c r="O378" s="13">
        <f>339+214</f>
        <v>553</v>
      </c>
      <c r="P378" s="13">
        <f>60+68</f>
        <v>128</v>
      </c>
      <c r="Q378" s="13">
        <v>78</v>
      </c>
      <c r="R378" s="23">
        <v>1.2</v>
      </c>
      <c r="S378" s="13">
        <v>49</v>
      </c>
      <c r="T378" s="23">
        <v>0.89</v>
      </c>
      <c r="U378" s="15" t="s">
        <v>1146</v>
      </c>
      <c r="V378" s="15" t="s">
        <v>1147</v>
      </c>
      <c r="W378" s="7">
        <v>-235</v>
      </c>
      <c r="X378" s="7"/>
      <c r="Y378" s="7"/>
      <c r="Z378" s="7"/>
      <c r="AA378" s="16">
        <v>289842</v>
      </c>
      <c r="AB378" s="17">
        <f t="shared" si="30"/>
        <v>207.72496758578811</v>
      </c>
      <c r="AC378" s="27">
        <f t="shared" ref="AC378:AC397" si="40">(AA378/AA377-1)</f>
        <v>6.9396252602360597E-4</v>
      </c>
      <c r="AD378" s="19">
        <v>20529</v>
      </c>
      <c r="AE378" s="28">
        <f t="shared" si="39"/>
        <v>-1.1365278112207999E-2</v>
      </c>
      <c r="AF378" s="16">
        <v>156070000</v>
      </c>
      <c r="AG378" s="27">
        <f t="shared" si="33"/>
        <v>2.2471174004192962E-2</v>
      </c>
      <c r="AH378" s="16">
        <v>13762000</v>
      </c>
      <c r="AI378" s="31">
        <f t="shared" si="38"/>
        <v>1.1391195708091439E-2</v>
      </c>
      <c r="AJ378" s="7">
        <f t="shared" si="37"/>
        <v>1280461.92</v>
      </c>
      <c r="AK378" s="27">
        <f t="shared" si="37"/>
        <v>8.3700193141085233E-3</v>
      </c>
    </row>
    <row r="379" spans="1:37" ht="22.5" x14ac:dyDescent="0.55000000000000004">
      <c r="A379" s="7" t="s">
        <v>1148</v>
      </c>
      <c r="B379" s="25"/>
      <c r="C379" s="7">
        <v>1283540.8700000001</v>
      </c>
      <c r="D379" s="27">
        <f t="shared" si="26"/>
        <v>2.4045619412096375E-3</v>
      </c>
      <c r="E379" s="7">
        <v>365750.03</v>
      </c>
      <c r="F379" s="27">
        <f t="shared" si="35"/>
        <v>1.8896884343837517E-3</v>
      </c>
      <c r="G379" s="9">
        <v>47632100.454999998</v>
      </c>
      <c r="H379" s="9">
        <v>28342.246999999999</v>
      </c>
      <c r="I379" s="24">
        <f t="shared" si="36"/>
        <v>28.342247</v>
      </c>
      <c r="J379" s="24">
        <f t="shared" si="29"/>
        <v>32.276580333333328</v>
      </c>
      <c r="K379" s="11">
        <v>9467991.3369999994</v>
      </c>
      <c r="L379" s="11">
        <v>3210760.1839999999</v>
      </c>
      <c r="M379" s="11">
        <v>134430.861</v>
      </c>
      <c r="N379" s="13">
        <v>2200</v>
      </c>
      <c r="O379" s="13">
        <f>244+183</f>
        <v>427</v>
      </c>
      <c r="P379" s="13">
        <f>121+152</f>
        <v>273</v>
      </c>
      <c r="Q379" s="13">
        <v>59</v>
      </c>
      <c r="R379" s="23">
        <v>1.19</v>
      </c>
      <c r="S379" s="13">
        <v>47</v>
      </c>
      <c r="T379" s="23">
        <v>0.96</v>
      </c>
      <c r="U379" s="15" t="s">
        <v>1149</v>
      </c>
      <c r="V379" s="15" t="s">
        <v>1150</v>
      </c>
      <c r="W379" s="7">
        <v>-337</v>
      </c>
      <c r="X379" s="7"/>
      <c r="Y379" s="7"/>
      <c r="Z379" s="7"/>
      <c r="AA379" s="16">
        <v>290043</v>
      </c>
      <c r="AB379" s="17">
        <f t="shared" si="30"/>
        <v>207.93762295935429</v>
      </c>
      <c r="AC379" s="27">
        <f t="shared" si="40"/>
        <v>6.9348127600554754E-4</v>
      </c>
      <c r="AD379" s="19">
        <v>20411</v>
      </c>
      <c r="AE379" s="28">
        <f t="shared" si="39"/>
        <v>-5.7479662915874696E-3</v>
      </c>
      <c r="AF379" s="16">
        <v>160460000</v>
      </c>
      <c r="AG379" s="27">
        <f t="shared" si="33"/>
        <v>2.8128403921317435E-2</v>
      </c>
      <c r="AH379" s="16">
        <v>14009000</v>
      </c>
      <c r="AI379" s="31">
        <f t="shared" si="38"/>
        <v>1.7947972678389768E-2</v>
      </c>
      <c r="AJ379" s="7">
        <f t="shared" si="37"/>
        <v>1283540.8700000001</v>
      </c>
      <c r="AK379" s="27">
        <f t="shared" si="37"/>
        <v>2.4045619412096375E-3</v>
      </c>
    </row>
    <row r="380" spans="1:37" ht="22.5" x14ac:dyDescent="0.55000000000000004">
      <c r="A380" s="7" t="s">
        <v>1151</v>
      </c>
      <c r="B380" s="25">
        <v>0.5625</v>
      </c>
      <c r="C380" s="7">
        <v>1328324.02</v>
      </c>
      <c r="D380" s="27">
        <f t="shared" si="26"/>
        <v>3.4890318685372179E-2</v>
      </c>
      <c r="E380" s="7">
        <v>374784.26</v>
      </c>
      <c r="F380" s="27">
        <f t="shared" si="35"/>
        <v>2.4700558466119515E-2</v>
      </c>
      <c r="G380" s="9">
        <v>49292284.200999998</v>
      </c>
      <c r="H380" s="9">
        <v>51148.964</v>
      </c>
      <c r="I380" s="24">
        <f t="shared" si="36"/>
        <v>51.148963999999999</v>
      </c>
      <c r="J380" s="24">
        <f t="shared" si="29"/>
        <v>35.294959999999996</v>
      </c>
      <c r="K380" s="11">
        <v>9643671.7620000001</v>
      </c>
      <c r="L380" s="11">
        <v>3214191.5240000002</v>
      </c>
      <c r="M380" s="11">
        <v>54965.881000000001</v>
      </c>
      <c r="N380" s="13">
        <v>4184</v>
      </c>
      <c r="O380" s="13">
        <f>372+240</f>
        <v>612</v>
      </c>
      <c r="P380" s="13">
        <f>47+38</f>
        <v>85</v>
      </c>
      <c r="Q380" s="13">
        <v>155</v>
      </c>
      <c r="R380" s="23">
        <v>2.9</v>
      </c>
      <c r="S380" s="13">
        <v>37</v>
      </c>
      <c r="T380" s="23">
        <v>0.65</v>
      </c>
      <c r="U380" s="15" t="s">
        <v>1152</v>
      </c>
      <c r="V380" s="15" t="s">
        <v>1153</v>
      </c>
      <c r="W380" s="7">
        <v>319</v>
      </c>
      <c r="X380" s="7">
        <v>341356</v>
      </c>
      <c r="Y380" s="7"/>
      <c r="Z380" s="7"/>
      <c r="AA380" s="16">
        <v>290244</v>
      </c>
      <c r="AB380" s="17">
        <f t="shared" si="30"/>
        <v>214.13068827262578</v>
      </c>
      <c r="AC380" s="27">
        <f t="shared" si="40"/>
        <v>6.9300069300060052E-4</v>
      </c>
      <c r="AD380" s="19">
        <v>21265</v>
      </c>
      <c r="AE380" s="28">
        <f t="shared" si="39"/>
        <v>4.1840184214394283E-2</v>
      </c>
      <c r="AF380" s="16">
        <v>161980000</v>
      </c>
      <c r="AG380" s="27">
        <f t="shared" si="33"/>
        <v>9.4727657983297853E-3</v>
      </c>
      <c r="AH380" s="16">
        <v>14549000</v>
      </c>
      <c r="AI380" s="31">
        <f t="shared" si="38"/>
        <v>3.8546648583053678E-2</v>
      </c>
      <c r="AJ380" s="7">
        <f t="shared" si="37"/>
        <v>1328324.02</v>
      </c>
      <c r="AK380" s="27">
        <f t="shared" si="37"/>
        <v>3.4890318685372179E-2</v>
      </c>
    </row>
    <row r="381" spans="1:37" ht="22.5" x14ac:dyDescent="0.55000000000000004">
      <c r="A381" s="7" t="s">
        <v>1154</v>
      </c>
      <c r="B381" s="25">
        <v>0.58333333333333337</v>
      </c>
      <c r="C381" s="7">
        <v>1344676.11</v>
      </c>
      <c r="D381" s="27">
        <f t="shared" si="26"/>
        <v>1.2310317176979169E-2</v>
      </c>
      <c r="E381" s="7">
        <v>379862.43</v>
      </c>
      <c r="F381" s="27">
        <f t="shared" si="35"/>
        <v>1.3549581831424851E-2</v>
      </c>
      <c r="G381" s="9">
        <v>49769053.163999997</v>
      </c>
      <c r="H381" s="9">
        <v>38948.127999999997</v>
      </c>
      <c r="I381" s="24">
        <f t="shared" si="36"/>
        <v>38.948127999999997</v>
      </c>
      <c r="J381" s="24">
        <f t="shared" si="29"/>
        <v>37.130765888888888</v>
      </c>
      <c r="K381" s="11">
        <v>9713675.7239999995</v>
      </c>
      <c r="L381" s="11">
        <v>3212628.8709999998</v>
      </c>
      <c r="M381" s="11">
        <v>46313.964999999997</v>
      </c>
      <c r="N381" s="13">
        <v>3809</v>
      </c>
      <c r="O381" s="13">
        <f>353+228</f>
        <v>581</v>
      </c>
      <c r="P381" s="13">
        <f>50+76</f>
        <v>126</v>
      </c>
      <c r="Q381" s="13">
        <v>98</v>
      </c>
      <c r="R381" s="23">
        <v>2.5499999999999998</v>
      </c>
      <c r="S381" s="13">
        <v>34</v>
      </c>
      <c r="T381" s="23">
        <v>0.6</v>
      </c>
      <c r="U381" s="15" t="s">
        <v>1155</v>
      </c>
      <c r="V381" s="15" t="s">
        <v>1156</v>
      </c>
      <c r="W381" s="7">
        <v>-63</v>
      </c>
      <c r="X381" s="7">
        <v>341698</v>
      </c>
      <c r="Y381" s="27">
        <f t="shared" ref="Y381:Y397" si="41">X381/X380-1</f>
        <v>1.0018865934684484E-3</v>
      </c>
      <c r="Z381" s="7">
        <v>17567500</v>
      </c>
      <c r="AA381" s="16">
        <v>290445</v>
      </c>
      <c r="AB381" s="17">
        <f t="shared" si="30"/>
        <v>215.85965590387164</v>
      </c>
      <c r="AC381" s="27">
        <f t="shared" si="40"/>
        <v>6.9252077562320657E-4</v>
      </c>
      <c r="AD381" s="19">
        <v>21244</v>
      </c>
      <c r="AE381" s="28">
        <f t="shared" si="39"/>
        <v>-9.8753820832353512E-4</v>
      </c>
      <c r="AF381" s="16">
        <v>163520000</v>
      </c>
      <c r="AG381" s="27">
        <f t="shared" si="33"/>
        <v>9.5073465859982775E-3</v>
      </c>
      <c r="AH381" s="16">
        <v>14642000</v>
      </c>
      <c r="AI381" s="31">
        <f t="shared" si="38"/>
        <v>6.3921919032234875E-3</v>
      </c>
      <c r="AJ381" s="7">
        <f t="shared" si="37"/>
        <v>1344676.11</v>
      </c>
      <c r="AK381" s="27">
        <f t="shared" si="37"/>
        <v>1.2310317176979169E-2</v>
      </c>
    </row>
    <row r="382" spans="1:37" ht="22.5" x14ac:dyDescent="0.55000000000000004">
      <c r="A382" s="7" t="s">
        <v>1157</v>
      </c>
      <c r="B382" s="25">
        <v>0.58333333333333337</v>
      </c>
      <c r="C382" s="7">
        <v>1389749.26</v>
      </c>
      <c r="D382" s="27">
        <f t="shared" si="26"/>
        <v>3.3519707582222003E-2</v>
      </c>
      <c r="E382" s="7">
        <v>393109.83</v>
      </c>
      <c r="F382" s="27">
        <f t="shared" si="35"/>
        <v>3.4874204327077107E-2</v>
      </c>
      <c r="G382" s="9">
        <v>51433267.566</v>
      </c>
      <c r="H382" s="9">
        <v>61393.396000000001</v>
      </c>
      <c r="I382" s="24">
        <f t="shared" si="36"/>
        <v>61.393396000000003</v>
      </c>
      <c r="J382" s="24">
        <f t="shared" si="29"/>
        <v>41.247922333333328</v>
      </c>
      <c r="K382" s="11">
        <v>9926880.557</v>
      </c>
      <c r="L382" s="11">
        <v>3234663.4010000001</v>
      </c>
      <c r="M382" s="11">
        <v>1394012.6170000001</v>
      </c>
      <c r="N382" s="13">
        <v>5794</v>
      </c>
      <c r="O382" s="13">
        <f>238+394</f>
        <v>632</v>
      </c>
      <c r="P382" s="13">
        <f>120+23</f>
        <v>143</v>
      </c>
      <c r="Q382" s="13">
        <v>318</v>
      </c>
      <c r="R382" s="23">
        <v>7.15</v>
      </c>
      <c r="S382" s="13">
        <v>17</v>
      </c>
      <c r="T382" s="23">
        <v>0.27500000000000002</v>
      </c>
      <c r="U382" s="15" t="s">
        <v>1158</v>
      </c>
      <c r="V382" s="15" t="s">
        <v>1159</v>
      </c>
      <c r="W382" s="7">
        <v>815</v>
      </c>
      <c r="X382" s="7">
        <v>341678</v>
      </c>
      <c r="Y382" s="27">
        <f t="shared" si="41"/>
        <v>-5.8531217624890886E-5</v>
      </c>
      <c r="Z382" s="7">
        <v>19559300</v>
      </c>
      <c r="AA382" s="16">
        <v>290546</v>
      </c>
      <c r="AB382" s="17">
        <f t="shared" si="30"/>
        <v>222.32215044777766</v>
      </c>
      <c r="AC382" s="27">
        <f t="shared" si="40"/>
        <v>3.4774225757017163E-4</v>
      </c>
      <c r="AD382" s="19">
        <v>20791</v>
      </c>
      <c r="AE382" s="28">
        <f t="shared" si="39"/>
        <v>-2.1323667859160178E-2</v>
      </c>
      <c r="AF382" s="16">
        <v>165210000</v>
      </c>
      <c r="AG382" s="27">
        <f t="shared" si="33"/>
        <v>1.0335127201565486E-2</v>
      </c>
      <c r="AH382" s="16">
        <v>14909000</v>
      </c>
      <c r="AI382" s="31">
        <f t="shared" si="38"/>
        <v>1.8235213768610814E-2</v>
      </c>
      <c r="AJ382" s="7">
        <f t="shared" si="37"/>
        <v>1389749.26</v>
      </c>
      <c r="AK382" s="27">
        <f t="shared" si="37"/>
        <v>3.3519707582222003E-2</v>
      </c>
    </row>
    <row r="383" spans="1:37" ht="22.5" x14ac:dyDescent="0.55000000000000004">
      <c r="A383" s="7" t="s">
        <v>1160</v>
      </c>
      <c r="B383" s="25">
        <v>0.625</v>
      </c>
      <c r="C383" s="7">
        <v>1407740.78</v>
      </c>
      <c r="D383" s="27">
        <f t="shared" si="26"/>
        <v>1.2945874855151862E-2</v>
      </c>
      <c r="E383" s="7">
        <v>396210.69</v>
      </c>
      <c r="F383" s="27">
        <f t="shared" si="35"/>
        <v>7.8880245757273482E-3</v>
      </c>
      <c r="G383" s="9">
        <v>52098542.693000004</v>
      </c>
      <c r="H383" s="9">
        <v>72829.107999999993</v>
      </c>
      <c r="I383" s="24">
        <f t="shared" si="36"/>
        <v>72.829107999999991</v>
      </c>
      <c r="J383" s="24">
        <f t="shared" si="29"/>
        <v>43.463743333333326</v>
      </c>
      <c r="K383" s="11">
        <v>9992642.7579999994</v>
      </c>
      <c r="L383" s="11">
        <v>3250102.9870000002</v>
      </c>
      <c r="M383" s="11">
        <v>67228.668999999994</v>
      </c>
      <c r="N383" s="13">
        <v>6709</v>
      </c>
      <c r="O383" s="13">
        <f>210+156</f>
        <v>366</v>
      </c>
      <c r="P383" s="13">
        <f>151+204</f>
        <v>355</v>
      </c>
      <c r="Q383" s="13">
        <v>61</v>
      </c>
      <c r="R383" s="23">
        <v>1.99</v>
      </c>
      <c r="S383" s="13">
        <v>38</v>
      </c>
      <c r="T383" s="23">
        <v>0.37</v>
      </c>
      <c r="U383" s="15" t="s">
        <v>1161</v>
      </c>
      <c r="V383" s="15" t="s">
        <v>1162</v>
      </c>
      <c r="W383" s="7">
        <v>-402</v>
      </c>
      <c r="X383" s="7">
        <v>341632</v>
      </c>
      <c r="Y383" s="27">
        <f t="shared" si="41"/>
        <v>-1.3462968057642577E-4</v>
      </c>
      <c r="Z383" s="7">
        <v>16634100</v>
      </c>
      <c r="AA383" s="16">
        <v>291112</v>
      </c>
      <c r="AB383" s="17">
        <f t="shared" si="30"/>
        <v>224.4541222553519</v>
      </c>
      <c r="AC383" s="27">
        <f t="shared" si="40"/>
        <v>1.9480564179166215E-3</v>
      </c>
      <c r="AD383" s="19">
        <v>19697</v>
      </c>
      <c r="AE383" s="28">
        <f t="shared" si="39"/>
        <v>-5.261892164879034E-2</v>
      </c>
      <c r="AF383" s="16">
        <v>161040000</v>
      </c>
      <c r="AG383" s="27">
        <f t="shared" si="33"/>
        <v>-2.5240602869075701E-2</v>
      </c>
      <c r="AH383" s="16">
        <v>14570000</v>
      </c>
      <c r="AI383" s="31">
        <f t="shared" si="38"/>
        <v>-2.27379435240459E-2</v>
      </c>
      <c r="AJ383" s="7">
        <f t="shared" si="37"/>
        <v>1407740.78</v>
      </c>
      <c r="AK383" s="27">
        <f t="shared" si="37"/>
        <v>1.2945874855151862E-2</v>
      </c>
    </row>
    <row r="384" spans="1:37" ht="22.5" x14ac:dyDescent="0.55000000000000004">
      <c r="A384" s="7" t="s">
        <v>1163</v>
      </c>
      <c r="B384" s="25">
        <v>0.63541666666666663</v>
      </c>
      <c r="C384" s="7">
        <v>1414339.11</v>
      </c>
      <c r="D384" s="27">
        <f t="shared" si="26"/>
        <v>4.687176853681807E-3</v>
      </c>
      <c r="E384" s="7">
        <v>397566.09</v>
      </c>
      <c r="F384" s="27">
        <f t="shared" si="35"/>
        <v>3.4209071946040837E-3</v>
      </c>
      <c r="G384" s="9">
        <v>52352915.035999998</v>
      </c>
      <c r="H384" s="9">
        <v>55392.71</v>
      </c>
      <c r="I384" s="24">
        <f t="shared" si="36"/>
        <v>55.392710000000001</v>
      </c>
      <c r="J384" s="24">
        <f t="shared" si="29"/>
        <v>45.296398444444442</v>
      </c>
      <c r="K384" s="11">
        <v>10032762.173</v>
      </c>
      <c r="L384" s="11">
        <v>3262904.9870000002</v>
      </c>
      <c r="M384" s="11">
        <v>67256.134000000005</v>
      </c>
      <c r="N384" s="13">
        <v>5378</v>
      </c>
      <c r="O384" s="13">
        <f>187+253</f>
        <v>440</v>
      </c>
      <c r="P384" s="13">
        <f>147+107</f>
        <v>254</v>
      </c>
      <c r="Q384" s="13">
        <v>81</v>
      </c>
      <c r="R384" s="23">
        <v>3.04</v>
      </c>
      <c r="S384" s="13">
        <v>37</v>
      </c>
      <c r="T384" s="23">
        <v>0.41499999999999998</v>
      </c>
      <c r="U384" s="15" t="s">
        <v>1164</v>
      </c>
      <c r="V384" s="15" t="s">
        <v>1165</v>
      </c>
      <c r="W384" s="7">
        <v>-275</v>
      </c>
      <c r="X384" s="7">
        <v>341416</v>
      </c>
      <c r="Y384" s="27">
        <f t="shared" si="41"/>
        <v>-6.3225927313603769E-4</v>
      </c>
      <c r="Z384" s="7">
        <v>14715800</v>
      </c>
      <c r="AA384" s="16">
        <v>291112</v>
      </c>
      <c r="AB384" s="17">
        <f t="shared" si="30"/>
        <v>225.50970827722662</v>
      </c>
      <c r="AC384" s="27">
        <f t="shared" si="40"/>
        <v>0</v>
      </c>
      <c r="AD384" s="19">
        <v>17713</v>
      </c>
      <c r="AE384" s="28">
        <f t="shared" si="39"/>
        <v>-0.10072599888307865</v>
      </c>
      <c r="AF384" s="16">
        <v>160020000</v>
      </c>
      <c r="AG384" s="27">
        <f t="shared" si="33"/>
        <v>-6.3338301043218692E-3</v>
      </c>
      <c r="AH384" s="16">
        <v>14713000</v>
      </c>
      <c r="AI384" s="31">
        <f t="shared" si="38"/>
        <v>9.8146877144817957E-3</v>
      </c>
      <c r="AJ384" s="7">
        <f t="shared" si="37"/>
        <v>1414339.11</v>
      </c>
      <c r="AK384" s="27">
        <f t="shared" si="37"/>
        <v>4.687176853681807E-3</v>
      </c>
    </row>
    <row r="385" spans="1:37" ht="22.5" x14ac:dyDescent="0.55000000000000004">
      <c r="A385" s="7" t="s">
        <v>1166</v>
      </c>
      <c r="B385" s="25">
        <v>0.64583333333333337</v>
      </c>
      <c r="C385" s="7">
        <v>1426095.99</v>
      </c>
      <c r="D385" s="27">
        <f t="shared" si="26"/>
        <v>8.312631614917132E-3</v>
      </c>
      <c r="E385" s="7">
        <v>401907.6</v>
      </c>
      <c r="F385" s="27">
        <f t="shared" si="35"/>
        <v>1.092022209439425E-2</v>
      </c>
      <c r="G385" s="9">
        <v>52782472.412</v>
      </c>
      <c r="H385" s="9">
        <v>50935.94</v>
      </c>
      <c r="I385" s="24">
        <f t="shared" si="36"/>
        <v>50.935940000000002</v>
      </c>
      <c r="J385" s="24">
        <f t="shared" si="29"/>
        <v>47.259028444444453</v>
      </c>
      <c r="K385" s="11">
        <v>10096273.943</v>
      </c>
      <c r="L385" s="11">
        <v>3278950.682</v>
      </c>
      <c r="M385" s="11">
        <v>60715.925999999999</v>
      </c>
      <c r="N385" s="13">
        <v>4387</v>
      </c>
      <c r="O385" s="13">
        <f>259+220</f>
        <v>479</v>
      </c>
      <c r="P385" s="13">
        <f>139+74</f>
        <v>213</v>
      </c>
      <c r="Q385" s="13">
        <v>42</v>
      </c>
      <c r="R385" s="23">
        <v>2.59</v>
      </c>
      <c r="S385" s="13">
        <v>13</v>
      </c>
      <c r="T385" s="23">
        <v>1.22</v>
      </c>
      <c r="U385" s="15" t="s">
        <v>1167</v>
      </c>
      <c r="V385" s="15" t="s">
        <v>1168</v>
      </c>
      <c r="W385" s="7">
        <v>-56</v>
      </c>
      <c r="X385" s="7">
        <v>333269</v>
      </c>
      <c r="Y385" s="27">
        <f t="shared" si="41"/>
        <v>-2.3862384891159216E-2</v>
      </c>
      <c r="Z385" s="7">
        <v>7840100</v>
      </c>
      <c r="AA385" s="16">
        <v>291912</v>
      </c>
      <c r="AB385" s="17">
        <f t="shared" si="30"/>
        <v>226.63575679314314</v>
      </c>
      <c r="AC385" s="27">
        <f t="shared" si="40"/>
        <v>2.7480832119597398E-3</v>
      </c>
      <c r="AD385" s="19">
        <v>16841</v>
      </c>
      <c r="AE385" s="28">
        <f t="shared" si="39"/>
        <v>-4.922937955174167E-2</v>
      </c>
      <c r="AF385" s="16">
        <v>160020000</v>
      </c>
      <c r="AG385" s="27">
        <f t="shared" si="33"/>
        <v>0</v>
      </c>
      <c r="AH385" s="16">
        <v>14849000</v>
      </c>
      <c r="AI385" s="31">
        <f t="shared" si="38"/>
        <v>9.2435261333514429E-3</v>
      </c>
      <c r="AJ385" s="7">
        <f t="shared" si="37"/>
        <v>1426095.99</v>
      </c>
      <c r="AK385" s="27">
        <f t="shared" si="37"/>
        <v>8.312631614917132E-3</v>
      </c>
    </row>
    <row r="386" spans="1:37" ht="22.5" x14ac:dyDescent="0.55000000000000004">
      <c r="A386" s="7" t="s">
        <v>1169</v>
      </c>
      <c r="B386" s="25">
        <v>0.63541666666666663</v>
      </c>
      <c r="C386" s="7">
        <v>1419157.58</v>
      </c>
      <c r="D386" s="27">
        <f t="shared" si="26"/>
        <v>-4.8653176564923406E-3</v>
      </c>
      <c r="E386" s="7">
        <v>401826.68</v>
      </c>
      <c r="F386" s="27">
        <f t="shared" si="35"/>
        <v>-2.0133981044390126E-4</v>
      </c>
      <c r="G386" s="9">
        <v>52524978.134000003</v>
      </c>
      <c r="H386" s="9">
        <v>38640.85</v>
      </c>
      <c r="I386" s="24">
        <f t="shared" si="36"/>
        <v>38.64085</v>
      </c>
      <c r="J386" s="24">
        <f t="shared" si="29"/>
        <v>47.322906777777774</v>
      </c>
      <c r="K386" s="11">
        <v>10087729.023</v>
      </c>
      <c r="L386" s="11">
        <v>3294954.5090000001</v>
      </c>
      <c r="M386" s="11">
        <v>134057.033</v>
      </c>
      <c r="N386" s="13">
        <v>3810</v>
      </c>
      <c r="O386" s="13">
        <f>157+135</f>
        <v>292</v>
      </c>
      <c r="P386" s="13">
        <f>149+240</f>
        <v>389</v>
      </c>
      <c r="Q386" s="13">
        <v>84</v>
      </c>
      <c r="R386" s="23">
        <v>2.4500000000000002</v>
      </c>
      <c r="S386" s="13">
        <v>27</v>
      </c>
      <c r="T386" s="23">
        <v>1.8</v>
      </c>
      <c r="U386" s="15" t="s">
        <v>1170</v>
      </c>
      <c r="V386" s="15" t="s">
        <v>1171</v>
      </c>
      <c r="W386" s="7">
        <v>-345</v>
      </c>
      <c r="X386" s="7">
        <v>329749</v>
      </c>
      <c r="Y386" s="27">
        <f t="shared" si="41"/>
        <v>-1.0562038473425406E-2</v>
      </c>
      <c r="Z386" s="7">
        <v>13291700</v>
      </c>
      <c r="AA386" s="16">
        <v>290646</v>
      </c>
      <c r="AB386" s="17">
        <f t="shared" si="30"/>
        <v>226.76266546245262</v>
      </c>
      <c r="AC386" s="27">
        <f t="shared" si="40"/>
        <v>-4.3369234563841452E-3</v>
      </c>
      <c r="AD386" s="19">
        <v>16644</v>
      </c>
      <c r="AE386" s="28">
        <f t="shared" si="39"/>
        <v>-1.1697642657799379E-2</v>
      </c>
      <c r="AF386" s="16">
        <v>160350000</v>
      </c>
      <c r="AG386" s="27">
        <f t="shared" si="33"/>
        <v>2.0622422197225099E-3</v>
      </c>
      <c r="AH386" s="16">
        <v>14870000</v>
      </c>
      <c r="AI386" s="31">
        <f t="shared" si="38"/>
        <v>1.4142366489326985E-3</v>
      </c>
      <c r="AJ386" s="7">
        <f t="shared" si="37"/>
        <v>1419157.58</v>
      </c>
      <c r="AK386" s="27">
        <f t="shared" si="37"/>
        <v>-4.8653176564923406E-3</v>
      </c>
    </row>
    <row r="387" spans="1:37" ht="22.5" x14ac:dyDescent="0.55000000000000004">
      <c r="A387" s="7" t="s">
        <v>1172</v>
      </c>
      <c r="B387" s="25">
        <v>0.58333333333333337</v>
      </c>
      <c r="C387" s="7">
        <v>1408171.65</v>
      </c>
      <c r="D387" s="27">
        <f t="shared" si="26"/>
        <v>-7.7411628946801869E-3</v>
      </c>
      <c r="E387" s="7">
        <v>398815.44</v>
      </c>
      <c r="F387" s="27">
        <f t="shared" si="35"/>
        <v>-7.4938777086678288E-3</v>
      </c>
      <c r="G387" s="9">
        <v>52117325.148999996</v>
      </c>
      <c r="H387" s="9">
        <v>37489.822999999997</v>
      </c>
      <c r="I387" s="24">
        <f t="shared" si="36"/>
        <v>37.489822999999994</v>
      </c>
      <c r="J387" s="24">
        <f t="shared" si="29"/>
        <v>48.346796222222224</v>
      </c>
      <c r="K387" s="11">
        <v>10030538.047</v>
      </c>
      <c r="L387" s="11">
        <v>3295977.4019999998</v>
      </c>
      <c r="M387" s="11">
        <v>724850.89</v>
      </c>
      <c r="N387" s="13">
        <v>3691</v>
      </c>
      <c r="O387" s="13">
        <v>239</v>
      </c>
      <c r="P387" s="13">
        <v>526</v>
      </c>
      <c r="Q387" s="13">
        <v>67</v>
      </c>
      <c r="R387" s="23">
        <v>1.5</v>
      </c>
      <c r="S387" s="13">
        <v>34</v>
      </c>
      <c r="T387" s="23">
        <v>2.1</v>
      </c>
      <c r="U387" s="15" t="s">
        <v>1173</v>
      </c>
      <c r="V387" s="15" t="s">
        <v>1174</v>
      </c>
      <c r="W387" s="7">
        <v>-768</v>
      </c>
      <c r="X387" s="7">
        <v>330841</v>
      </c>
      <c r="Y387" s="27">
        <f t="shared" si="41"/>
        <v>3.3116097395291533E-3</v>
      </c>
      <c r="Z387" s="7">
        <v>11562700</v>
      </c>
      <c r="AA387" s="16">
        <v>290546</v>
      </c>
      <c r="AB387" s="17">
        <f t="shared" si="30"/>
        <v>225.24433514142339</v>
      </c>
      <c r="AC387" s="27">
        <f t="shared" si="40"/>
        <v>-3.4406116031182599E-4</v>
      </c>
      <c r="AD387" s="19">
        <v>16755</v>
      </c>
      <c r="AE387" s="28">
        <f t="shared" si="39"/>
        <v>6.6690699351117377E-3</v>
      </c>
      <c r="AF387" s="16">
        <v>162020000</v>
      </c>
      <c r="AG387" s="27">
        <f t="shared" si="33"/>
        <v>1.0414717804801965E-2</v>
      </c>
      <c r="AH387" s="16">
        <v>14955000</v>
      </c>
      <c r="AI387" s="31">
        <f t="shared" si="38"/>
        <v>5.7162071284464488E-3</v>
      </c>
      <c r="AJ387" s="7">
        <f t="shared" si="37"/>
        <v>1408171.65</v>
      </c>
      <c r="AK387" s="27">
        <f t="shared" si="37"/>
        <v>-7.7411628946801869E-3</v>
      </c>
    </row>
    <row r="388" spans="1:37" ht="22.5" x14ac:dyDescent="0.55000000000000004">
      <c r="A388" s="7" t="s">
        <v>1175</v>
      </c>
      <c r="B388" s="25">
        <v>0.65625</v>
      </c>
      <c r="C388" s="7">
        <v>1410455.25</v>
      </c>
      <c r="D388" s="27">
        <f t="shared" si="26"/>
        <v>1.62167730049112E-3</v>
      </c>
      <c r="E388" s="7">
        <v>399769</v>
      </c>
      <c r="F388" s="27">
        <f t="shared" si="35"/>
        <v>2.3909806500972408E-3</v>
      </c>
      <c r="G388" s="9">
        <v>52202344.986000001</v>
      </c>
      <c r="H388" s="9">
        <v>33229.220999999998</v>
      </c>
      <c r="I388" s="24">
        <f t="shared" si="36"/>
        <v>33.229220999999995</v>
      </c>
      <c r="J388" s="24">
        <f t="shared" si="29"/>
        <v>48.889793333333337</v>
      </c>
      <c r="K388" s="11">
        <v>10037639.403999999</v>
      </c>
      <c r="L388" s="11">
        <v>3295990.8879999998</v>
      </c>
      <c r="M388" s="11">
        <v>89696.248999999996</v>
      </c>
      <c r="N388" s="13">
        <v>3320</v>
      </c>
      <c r="O388" s="13">
        <f>229+169</f>
        <v>398</v>
      </c>
      <c r="P388" s="13">
        <f>153+117</f>
        <v>270</v>
      </c>
      <c r="Q388" s="13">
        <v>69</v>
      </c>
      <c r="R388" s="23">
        <v>1.0900000000000001</v>
      </c>
      <c r="S388" s="13">
        <v>22</v>
      </c>
      <c r="T388" s="23">
        <v>1.99</v>
      </c>
      <c r="U388" s="15" t="s">
        <v>1176</v>
      </c>
      <c r="V388" s="15" t="s">
        <v>1177</v>
      </c>
      <c r="W388" s="7">
        <v>-251</v>
      </c>
      <c r="X388" s="7">
        <v>332287</v>
      </c>
      <c r="Y388" s="27">
        <f t="shared" si="41"/>
        <v>4.3706795711535573E-3</v>
      </c>
      <c r="Z388" s="7">
        <v>11615300</v>
      </c>
      <c r="AA388" s="16">
        <v>290546</v>
      </c>
      <c r="AB388" s="17">
        <f t="shared" si="30"/>
        <v>225.5614438952868</v>
      </c>
      <c r="AC388" s="27">
        <f t="shared" si="40"/>
        <v>0</v>
      </c>
      <c r="AD388" s="19">
        <v>16803</v>
      </c>
      <c r="AE388" s="28">
        <f t="shared" si="39"/>
        <v>2.8648164726947645E-3</v>
      </c>
      <c r="AF388" s="16">
        <v>163310000</v>
      </c>
      <c r="AG388" s="27">
        <f t="shared" si="33"/>
        <v>7.9619800024688381E-3</v>
      </c>
      <c r="AH388" s="16">
        <v>15205000</v>
      </c>
      <c r="AI388" s="31">
        <f t="shared" si="38"/>
        <v>1.6716817118020755E-2</v>
      </c>
      <c r="AJ388" s="7">
        <f t="shared" si="37"/>
        <v>1410455.25</v>
      </c>
      <c r="AK388" s="27">
        <f t="shared" si="37"/>
        <v>1.62167730049112E-3</v>
      </c>
    </row>
    <row r="389" spans="1:37" ht="22.5" x14ac:dyDescent="0.55000000000000004">
      <c r="A389" s="7" t="s">
        <v>1178</v>
      </c>
      <c r="B389" s="25">
        <v>0.71875</v>
      </c>
      <c r="C389" s="7">
        <v>1413573.38</v>
      </c>
      <c r="D389" s="27">
        <f t="shared" si="26"/>
        <v>2.2107259340555796E-3</v>
      </c>
      <c r="E389" s="7">
        <v>401470.26</v>
      </c>
      <c r="F389" s="27">
        <f t="shared" si="35"/>
        <v>4.2556076133968279E-3</v>
      </c>
      <c r="G389" s="9">
        <v>52322439.316</v>
      </c>
      <c r="H389" s="9">
        <v>36758.802000000003</v>
      </c>
      <c r="I389" s="24">
        <f t="shared" si="36"/>
        <v>36.758802000000003</v>
      </c>
      <c r="J389" s="24">
        <f t="shared" si="29"/>
        <v>47.290886444444446</v>
      </c>
      <c r="K389" s="11">
        <v>10062731.512</v>
      </c>
      <c r="L389" s="11">
        <v>3298329.5410000002</v>
      </c>
      <c r="M389" s="11">
        <v>56664.196000000004</v>
      </c>
      <c r="N389" s="13">
        <v>3035</v>
      </c>
      <c r="O389" s="13">
        <f>237+197</f>
        <v>434</v>
      </c>
      <c r="P389" s="13">
        <f>149+103</f>
        <v>252</v>
      </c>
      <c r="Q389" s="13">
        <v>87</v>
      </c>
      <c r="R389" s="23">
        <v>1.7</v>
      </c>
      <c r="S389" s="13">
        <v>21</v>
      </c>
      <c r="T389" s="23">
        <v>1.8</v>
      </c>
      <c r="U389" s="15" t="s">
        <v>1179</v>
      </c>
      <c r="V389" s="15" t="s">
        <v>1180</v>
      </c>
      <c r="W389" s="7">
        <v>-216</v>
      </c>
      <c r="X389" s="7">
        <v>332450</v>
      </c>
      <c r="Y389" s="27">
        <f t="shared" si="41"/>
        <v>4.9053980444613288E-4</v>
      </c>
      <c r="Z389" s="7">
        <v>11057700</v>
      </c>
      <c r="AA389" s="16">
        <v>291450</v>
      </c>
      <c r="AB389" s="17">
        <f t="shared" si="30"/>
        <v>225.36798891405044</v>
      </c>
      <c r="AC389" s="27">
        <f t="shared" si="40"/>
        <v>3.1113833954004022E-3</v>
      </c>
      <c r="AD389" s="19">
        <v>16588</v>
      </c>
      <c r="AE389" s="28">
        <f t="shared" si="39"/>
        <v>-1.2795334166517902E-2</v>
      </c>
      <c r="AF389" s="16">
        <v>163520000</v>
      </c>
      <c r="AG389" s="27">
        <f t="shared" si="33"/>
        <v>1.285897985426443E-3</v>
      </c>
      <c r="AH389" s="16">
        <v>15142000</v>
      </c>
      <c r="AI389" s="31">
        <f t="shared" si="38"/>
        <v>-4.1433738901677231E-3</v>
      </c>
      <c r="AJ389" s="7">
        <f t="shared" si="37"/>
        <v>1413573.38</v>
      </c>
      <c r="AK389" s="27">
        <f t="shared" si="37"/>
        <v>2.2107259340555796E-3</v>
      </c>
    </row>
    <row r="390" spans="1:37" ht="22.5" x14ac:dyDescent="0.55000000000000004">
      <c r="A390" s="7" t="s">
        <v>1181</v>
      </c>
      <c r="B390" s="25"/>
      <c r="C390" s="7">
        <v>1393152.61</v>
      </c>
      <c r="D390" s="27">
        <f t="shared" si="26"/>
        <v>-1.4446204412819186E-2</v>
      </c>
      <c r="E390" s="7">
        <v>397957.48</v>
      </c>
      <c r="F390" s="27">
        <f t="shared" si="35"/>
        <v>-8.7497888386552924E-3</v>
      </c>
      <c r="G390" s="9">
        <v>51567587.688000001</v>
      </c>
      <c r="H390" s="9">
        <v>44812.972000000002</v>
      </c>
      <c r="I390" s="24">
        <f t="shared" si="36"/>
        <v>44.812972000000002</v>
      </c>
      <c r="J390" s="24">
        <f t="shared" si="29"/>
        <v>47.942535777777778</v>
      </c>
      <c r="K390" s="11">
        <v>9990183.0299999993</v>
      </c>
      <c r="L390" s="11">
        <v>3275951.676</v>
      </c>
      <c r="M390" s="11">
        <v>66264.668000000005</v>
      </c>
      <c r="N390" s="13">
        <v>3498</v>
      </c>
      <c r="O390" s="13">
        <f>117+94</f>
        <v>211</v>
      </c>
      <c r="P390" s="13">
        <f>197+271</f>
        <v>468</v>
      </c>
      <c r="Q390" s="13">
        <v>46</v>
      </c>
      <c r="R390" s="23">
        <v>0.9</v>
      </c>
      <c r="S390" s="13">
        <v>60</v>
      </c>
      <c r="T390" s="23">
        <v>3.03</v>
      </c>
      <c r="U390" s="15" t="s">
        <v>1182</v>
      </c>
      <c r="V390" s="15" t="s">
        <v>1183</v>
      </c>
      <c r="W390" s="7">
        <v>-788</v>
      </c>
      <c r="X390" s="7">
        <v>332738</v>
      </c>
      <c r="Y390" s="27">
        <f t="shared" si="41"/>
        <v>8.6629568356144659E-4</v>
      </c>
      <c r="Z390" s="7">
        <v>14195800</v>
      </c>
      <c r="AA390" s="16">
        <v>307530</v>
      </c>
      <c r="AB390" s="17">
        <f t="shared" si="30"/>
        <v>210.82080575553604</v>
      </c>
      <c r="AC390" s="27">
        <f t="shared" si="40"/>
        <v>5.5172413793103559E-2</v>
      </c>
      <c r="AD390" s="19">
        <v>16635</v>
      </c>
      <c r="AE390" s="28">
        <f t="shared" si="39"/>
        <v>2.8333735230285928E-3</v>
      </c>
      <c r="AF390" s="16">
        <v>162460000</v>
      </c>
      <c r="AG390" s="27">
        <f t="shared" si="33"/>
        <v>-6.4823874755381983E-3</v>
      </c>
      <c r="AH390" s="16">
        <v>14979000</v>
      </c>
      <c r="AI390" s="31">
        <f t="shared" si="38"/>
        <v>-1.076476026944917E-2</v>
      </c>
      <c r="AJ390" s="7">
        <f t="shared" si="37"/>
        <v>1393152.61</v>
      </c>
      <c r="AK390" s="27">
        <f t="shared" si="37"/>
        <v>-1.4446204412819186E-2</v>
      </c>
    </row>
    <row r="391" spans="1:37" ht="22.5" x14ac:dyDescent="0.55000000000000004">
      <c r="A391" s="7" t="s">
        <v>1184</v>
      </c>
      <c r="B391" s="25"/>
      <c r="C391" s="7">
        <v>1404627.2</v>
      </c>
      <c r="D391" s="27">
        <f t="shared" si="26"/>
        <v>8.2364199856035381E-3</v>
      </c>
      <c r="E391" s="7">
        <v>402855.74</v>
      </c>
      <c r="F391" s="27">
        <f t="shared" si="35"/>
        <v>1.2308500898136288E-2</v>
      </c>
      <c r="G391" s="9">
        <v>51977000.814999998</v>
      </c>
      <c r="H391" s="9">
        <v>35958.002999999997</v>
      </c>
      <c r="I391" s="24">
        <f t="shared" si="36"/>
        <v>35.958002999999998</v>
      </c>
      <c r="J391" s="24">
        <f t="shared" si="29"/>
        <v>45.116381000000004</v>
      </c>
      <c r="K391" s="11">
        <v>10058133.547</v>
      </c>
      <c r="L391" s="11">
        <v>3273761.3879999998</v>
      </c>
      <c r="M391" s="11">
        <v>130951.754</v>
      </c>
      <c r="N391" s="13">
        <v>3534</v>
      </c>
      <c r="O391" s="13">
        <v>480</v>
      </c>
      <c r="P391" s="13">
        <v>212</v>
      </c>
      <c r="Q391" s="13">
        <v>75</v>
      </c>
      <c r="R391" s="23">
        <v>2.0099999999999998</v>
      </c>
      <c r="S391" s="13">
        <v>31</v>
      </c>
      <c r="T391" s="23">
        <v>2.2000000000000002</v>
      </c>
      <c r="U391" s="15" t="s">
        <v>1185</v>
      </c>
      <c r="V391" s="15" t="s">
        <v>1186</v>
      </c>
      <c r="W391" s="7">
        <v>55</v>
      </c>
      <c r="X391" s="7">
        <v>332763</v>
      </c>
      <c r="Y391" s="27">
        <f t="shared" si="41"/>
        <v>7.5134189662762196E-5</v>
      </c>
      <c r="Z391" s="7">
        <v>9960700</v>
      </c>
      <c r="AA391" s="16">
        <v>307530</v>
      </c>
      <c r="AB391" s="17">
        <f t="shared" si="30"/>
        <v>212.36593421779989</v>
      </c>
      <c r="AC391" s="27">
        <f t="shared" si="40"/>
        <v>0</v>
      </c>
      <c r="AD391" s="19">
        <v>16626</v>
      </c>
      <c r="AE391" s="28">
        <f t="shared" si="39"/>
        <v>-5.4102795311095075E-4</v>
      </c>
      <c r="AF391" s="16">
        <v>163970000</v>
      </c>
      <c r="AG391" s="27">
        <f t="shared" si="33"/>
        <v>9.2945955927612456E-3</v>
      </c>
      <c r="AH391" s="16">
        <v>14965000</v>
      </c>
      <c r="AI391" s="31">
        <f t="shared" si="38"/>
        <v>-9.3464183189795325E-4</v>
      </c>
      <c r="AJ391" s="7">
        <f t="shared" si="37"/>
        <v>1404627.2</v>
      </c>
      <c r="AK391" s="27">
        <f t="shared" si="37"/>
        <v>8.2364199856035381E-3</v>
      </c>
    </row>
    <row r="392" spans="1:37" ht="22.5" x14ac:dyDescent="0.55000000000000004">
      <c r="A392" s="7" t="s">
        <v>1187</v>
      </c>
      <c r="B392" s="25">
        <v>0.59375</v>
      </c>
      <c r="C392" s="7">
        <v>1408597</v>
      </c>
      <c r="D392" s="27">
        <f t="shared" si="26"/>
        <v>2.8262303335717665E-3</v>
      </c>
      <c r="E392" s="7">
        <v>404470</v>
      </c>
      <c r="F392" s="27">
        <f t="shared" si="35"/>
        <v>4.0070423223956819E-3</v>
      </c>
      <c r="G392" s="9">
        <v>52142944.045999996</v>
      </c>
      <c r="H392" s="9">
        <v>37738.398000000001</v>
      </c>
      <c r="I392" s="24">
        <f t="shared" si="36"/>
        <v>37.738398000000004</v>
      </c>
      <c r="J392" s="24">
        <f t="shared" si="29"/>
        <v>41.217413222222227</v>
      </c>
      <c r="K392" s="11">
        <v>10078851.578</v>
      </c>
      <c r="L392" s="11">
        <v>3362084.341</v>
      </c>
      <c r="M392" s="11">
        <v>714535.10199999996</v>
      </c>
      <c r="N392" s="13">
        <v>3664</v>
      </c>
      <c r="O392" s="13">
        <f>200+163</f>
        <v>363</v>
      </c>
      <c r="P392" s="13">
        <f>188+205</f>
        <v>393</v>
      </c>
      <c r="Q392" s="13">
        <v>68</v>
      </c>
      <c r="R392" s="23">
        <v>1.41</v>
      </c>
      <c r="S392" s="13">
        <v>32</v>
      </c>
      <c r="T392" s="23">
        <v>0.86</v>
      </c>
      <c r="U392" s="15" t="s">
        <v>1188</v>
      </c>
      <c r="V392" s="15" t="s">
        <v>1189</v>
      </c>
      <c r="W392" s="7">
        <v>-210</v>
      </c>
      <c r="X392" s="7">
        <v>333698</v>
      </c>
      <c r="Y392" s="27">
        <f t="shared" si="41"/>
        <v>2.8098075807707623E-3</v>
      </c>
      <c r="Z392" s="7">
        <v>11655800</v>
      </c>
      <c r="AA392" s="16">
        <v>307530</v>
      </c>
      <c r="AB392" s="17">
        <f t="shared" si="30"/>
        <v>213.26010459142196</v>
      </c>
      <c r="AC392" s="27">
        <f t="shared" si="40"/>
        <v>0</v>
      </c>
      <c r="AD392" s="19">
        <v>16078</v>
      </c>
      <c r="AE392" s="28">
        <f t="shared" si="39"/>
        <v>-3.2960423433176955E-2</v>
      </c>
      <c r="AF392" s="16">
        <v>163050000</v>
      </c>
      <c r="AG392" s="27">
        <f t="shared" si="33"/>
        <v>-5.6107824602061873E-3</v>
      </c>
      <c r="AH392" s="16">
        <v>14958000</v>
      </c>
      <c r="AI392" s="31">
        <f t="shared" si="38"/>
        <v>-4.6775810223853576E-4</v>
      </c>
      <c r="AJ392" s="7">
        <f t="shared" si="37"/>
        <v>1408597</v>
      </c>
      <c r="AK392" s="27">
        <f t="shared" si="37"/>
        <v>2.8262303335717665E-3</v>
      </c>
    </row>
    <row r="393" spans="1:37" ht="22.5" x14ac:dyDescent="0.55000000000000004">
      <c r="A393" s="7" t="s">
        <v>1190</v>
      </c>
      <c r="B393" s="25">
        <v>0.66666666666666663</v>
      </c>
      <c r="C393" s="7">
        <v>1407658.36</v>
      </c>
      <c r="D393" s="27">
        <f t="shared" si="26"/>
        <v>-6.6636518464824324E-4</v>
      </c>
      <c r="E393" s="7">
        <v>405485.94</v>
      </c>
      <c r="F393" s="27">
        <f t="shared" si="35"/>
        <v>2.5117808490122684E-3</v>
      </c>
      <c r="G393" s="9">
        <v>52093775.745999999</v>
      </c>
      <c r="H393" s="9">
        <v>32400.516</v>
      </c>
      <c r="I393" s="24">
        <f t="shared" si="36"/>
        <v>32.400515999999996</v>
      </c>
      <c r="J393" s="24">
        <f t="shared" si="29"/>
        <v>38.662724999999995</v>
      </c>
      <c r="K393" s="11">
        <v>10097343.618000001</v>
      </c>
      <c r="L393" s="11">
        <v>3366730.2069999999</v>
      </c>
      <c r="M393" s="11">
        <v>129926.92200000001</v>
      </c>
      <c r="N393" s="13">
        <v>3226</v>
      </c>
      <c r="O393" s="13">
        <f>214+155</f>
        <v>369</v>
      </c>
      <c r="P393" s="13">
        <f>150+171</f>
        <v>321</v>
      </c>
      <c r="Q393" s="13">
        <v>62</v>
      </c>
      <c r="R393" s="23">
        <v>1.6</v>
      </c>
      <c r="S393" s="13">
        <v>31</v>
      </c>
      <c r="T393" s="23">
        <v>1.8</v>
      </c>
      <c r="U393" s="15" t="s">
        <v>1191</v>
      </c>
      <c r="V393" s="15" t="s">
        <v>1192</v>
      </c>
      <c r="W393" s="7">
        <v>68</v>
      </c>
      <c r="X393" s="7">
        <v>335241</v>
      </c>
      <c r="Y393" s="27">
        <f t="shared" si="41"/>
        <v>4.6239414080995189E-3</v>
      </c>
      <c r="Z393" s="7">
        <v>14375200</v>
      </c>
      <c r="AA393" s="16">
        <v>308535</v>
      </c>
      <c r="AB393" s="17">
        <f t="shared" si="30"/>
        <v>212.48107855186609</v>
      </c>
      <c r="AC393" s="27">
        <f t="shared" si="40"/>
        <v>3.2679738562091387E-3</v>
      </c>
      <c r="AD393" s="19">
        <v>15789</v>
      </c>
      <c r="AE393" s="28">
        <f t="shared" si="39"/>
        <v>-1.7974872496579142E-2</v>
      </c>
      <c r="AF393" s="16">
        <v>164750000</v>
      </c>
      <c r="AG393" s="27">
        <f t="shared" si="33"/>
        <v>1.0426249616682037E-2</v>
      </c>
      <c r="AH393" s="16">
        <v>15013000</v>
      </c>
      <c r="AI393" s="31">
        <f t="shared" si="38"/>
        <v>3.676962160716668E-3</v>
      </c>
      <c r="AJ393" s="7">
        <f t="shared" si="37"/>
        <v>1407658.36</v>
      </c>
      <c r="AK393" s="27">
        <f t="shared" si="37"/>
        <v>-6.6636518464824324E-4</v>
      </c>
    </row>
    <row r="394" spans="1:37" ht="22.5" x14ac:dyDescent="0.55000000000000004">
      <c r="A394" s="7" t="s">
        <v>1193</v>
      </c>
      <c r="B394" s="25">
        <v>0.64583333333333337</v>
      </c>
      <c r="C394" s="7">
        <v>1410188.29</v>
      </c>
      <c r="D394" s="27">
        <f t="shared" si="26"/>
        <v>1.7972613752672562E-3</v>
      </c>
      <c r="E394" s="7">
        <v>407302.58</v>
      </c>
      <c r="F394" s="27">
        <f t="shared" si="35"/>
        <v>4.480155341514358E-3</v>
      </c>
      <c r="G394" s="9">
        <v>52180463.355999999</v>
      </c>
      <c r="H394" s="9">
        <v>37220.978999999999</v>
      </c>
      <c r="I394" s="24">
        <f t="shared" si="36"/>
        <v>37.220979</v>
      </c>
      <c r="J394" s="24">
        <f>AVERAGE(I386:I394)</f>
        <v>37.13884044444444</v>
      </c>
      <c r="K394" s="11">
        <v>10126956.463</v>
      </c>
      <c r="L394" s="11">
        <v>3373589.3250000002</v>
      </c>
      <c r="M394" s="11">
        <v>179982.247</v>
      </c>
      <c r="N394" s="13">
        <v>3152</v>
      </c>
      <c r="O394" s="13">
        <f>214+174</f>
        <v>388</v>
      </c>
      <c r="P394" s="13">
        <f>133+181</f>
        <v>314</v>
      </c>
      <c r="Q394" s="13">
        <v>55</v>
      </c>
      <c r="R394" s="23">
        <v>1.48</v>
      </c>
      <c r="S394" s="13">
        <v>26</v>
      </c>
      <c r="T394" s="23">
        <v>0.59</v>
      </c>
      <c r="U394" s="15" t="s">
        <v>1194</v>
      </c>
      <c r="V394" s="15" t="s">
        <v>1195</v>
      </c>
      <c r="W394" s="7">
        <v>-108</v>
      </c>
      <c r="X394" s="7">
        <v>336111</v>
      </c>
      <c r="Y394" s="27">
        <f t="shared" si="41"/>
        <v>2.5951479681780576E-3</v>
      </c>
      <c r="Z394" s="7">
        <v>14561000</v>
      </c>
      <c r="AA394" s="16">
        <v>309540</v>
      </c>
      <c r="AB394" s="17">
        <f t="shared" si="30"/>
        <v>212.18908426697678</v>
      </c>
      <c r="AC394" s="27">
        <f t="shared" si="40"/>
        <v>3.2573289902280145E-3</v>
      </c>
      <c r="AD394" s="19">
        <v>16583</v>
      </c>
      <c r="AE394" s="28">
        <f t="shared" si="39"/>
        <v>5.0288175311925976E-2</v>
      </c>
      <c r="AF394" s="16">
        <v>163950000</v>
      </c>
      <c r="AG394" s="27">
        <f t="shared" si="33"/>
        <v>-4.8558421851290223E-3</v>
      </c>
      <c r="AH394" s="16">
        <v>14965000</v>
      </c>
      <c r="AI394" s="31">
        <f t="shared" si="38"/>
        <v>-3.1972290681409055E-3</v>
      </c>
      <c r="AJ394" s="7">
        <f t="shared" si="37"/>
        <v>1410188.29</v>
      </c>
      <c r="AK394" s="27">
        <f t="shared" si="37"/>
        <v>1.7972613752672562E-3</v>
      </c>
    </row>
    <row r="395" spans="1:37" ht="22.5" x14ac:dyDescent="0.55000000000000004">
      <c r="A395" s="7" t="s">
        <v>1196</v>
      </c>
      <c r="B395" s="25">
        <v>0.64583333333333337</v>
      </c>
      <c r="C395" s="7">
        <v>1408208.95</v>
      </c>
      <c r="D395" s="27">
        <f t="shared" si="26"/>
        <v>-1.4035997987191795E-3</v>
      </c>
      <c r="E395" s="7">
        <v>408101.66</v>
      </c>
      <c r="F395" s="27">
        <f t="shared" si="35"/>
        <v>1.9618829814433969E-3</v>
      </c>
      <c r="G395" s="9">
        <v>52110572.252999999</v>
      </c>
      <c r="H395" s="9">
        <v>33573.264999999999</v>
      </c>
      <c r="I395" s="24">
        <f t="shared" si="36"/>
        <v>33.573264999999999</v>
      </c>
      <c r="J395" s="24">
        <f>AVERAGE(I387:I395)</f>
        <v>36.575775444444439</v>
      </c>
      <c r="K395" s="11">
        <v>10111061.132999999</v>
      </c>
      <c r="L395" s="11">
        <v>3371980.7259999998</v>
      </c>
      <c r="M395" s="11">
        <v>117592.914</v>
      </c>
      <c r="N395" s="13">
        <v>3100</v>
      </c>
      <c r="O395" s="13">
        <f>169+126</f>
        <v>295</v>
      </c>
      <c r="P395" s="13">
        <f>185+222</f>
        <v>407</v>
      </c>
      <c r="Q395" s="13">
        <v>47</v>
      </c>
      <c r="R395" s="23">
        <v>1.36</v>
      </c>
      <c r="S395" s="13">
        <v>34</v>
      </c>
      <c r="T395" s="23">
        <v>2.3199999999999998</v>
      </c>
      <c r="U395" s="15" t="s">
        <v>1197</v>
      </c>
      <c r="V395" s="15" t="s">
        <v>1198</v>
      </c>
      <c r="W395" s="7">
        <v>-187</v>
      </c>
      <c r="X395" s="7">
        <v>336605</v>
      </c>
      <c r="Y395" s="27">
        <f t="shared" si="41"/>
        <v>1.4697525519842269E-3</v>
      </c>
      <c r="Z395" s="7">
        <v>14168300</v>
      </c>
      <c r="AA395" s="16">
        <v>315068</v>
      </c>
      <c r="AB395" s="17">
        <f t="shared" si="30"/>
        <v>208.18875325961378</v>
      </c>
      <c r="AC395" s="27">
        <f t="shared" si="40"/>
        <v>1.7858758157265564E-2</v>
      </c>
      <c r="AD395" s="19">
        <v>16586</v>
      </c>
      <c r="AE395" s="28">
        <f t="shared" si="39"/>
        <v>1.8090815895788204E-4</v>
      </c>
      <c r="AF395" s="16">
        <v>167950000</v>
      </c>
      <c r="AG395" s="27">
        <f t="shared" si="33"/>
        <v>2.439768222018901E-2</v>
      </c>
      <c r="AH395" s="16">
        <v>15265000</v>
      </c>
      <c r="AI395" s="31">
        <f t="shared" si="38"/>
        <v>2.0046775810223849E-2</v>
      </c>
      <c r="AJ395" s="7">
        <f t="shared" si="37"/>
        <v>1408208.95</v>
      </c>
      <c r="AK395" s="27">
        <f t="shared" si="37"/>
        <v>-1.4035997987191795E-3</v>
      </c>
    </row>
    <row r="396" spans="1:37" ht="22.5" x14ac:dyDescent="0.55000000000000004">
      <c r="A396" s="7" t="s">
        <v>1199</v>
      </c>
      <c r="B396" s="25">
        <v>0.58333333333333337</v>
      </c>
      <c r="C396" s="7">
        <v>1406186.61</v>
      </c>
      <c r="D396" s="27">
        <f t="shared" si="26"/>
        <v>-1.4361079014586497E-3</v>
      </c>
      <c r="E396" s="7">
        <v>408641.71</v>
      </c>
      <c r="F396" s="27">
        <f t="shared" si="35"/>
        <v>1.3233222329946948E-3</v>
      </c>
      <c r="G396" s="9">
        <v>52038449.435999997</v>
      </c>
      <c r="H396" s="9">
        <v>30334.413</v>
      </c>
      <c r="I396" s="24">
        <f t="shared" si="36"/>
        <v>30.334413000000001</v>
      </c>
      <c r="J396" s="24">
        <f>AVERAGE(I388:I396)</f>
        <v>35.780729888888885</v>
      </c>
      <c r="K396" s="11">
        <v>10102104.153000001</v>
      </c>
      <c r="L396" s="11">
        <v>3368588.227</v>
      </c>
      <c r="M396" s="11">
        <v>80890.873999999996</v>
      </c>
      <c r="N396" s="13">
        <v>3277</v>
      </c>
      <c r="O396" s="13">
        <f>201+154</f>
        <v>355</v>
      </c>
      <c r="P396" s="13">
        <f>152+191</f>
        <v>343</v>
      </c>
      <c r="Q396" s="13">
        <v>65</v>
      </c>
      <c r="R396" s="23">
        <v>2.04</v>
      </c>
      <c r="S396" s="13">
        <v>32</v>
      </c>
      <c r="T396" s="23">
        <v>3.02</v>
      </c>
      <c r="U396" s="15" t="s">
        <v>1200</v>
      </c>
      <c r="V396" s="15" t="s">
        <v>1201</v>
      </c>
      <c r="W396" s="7">
        <v>-149</v>
      </c>
      <c r="X396" s="7">
        <v>336779</v>
      </c>
      <c r="Y396" s="27">
        <f t="shared" si="41"/>
        <v>5.169263677009539E-4</v>
      </c>
      <c r="Z396" s="7">
        <v>12104300</v>
      </c>
      <c r="AA396" s="16">
        <v>318585</v>
      </c>
      <c r="AB396" s="17">
        <f t="shared" si="30"/>
        <v>205.62531762637914</v>
      </c>
      <c r="AC396" s="27">
        <f t="shared" si="40"/>
        <v>1.1162669645917722E-2</v>
      </c>
      <c r="AD396" s="19">
        <v>16543</v>
      </c>
      <c r="AE396" s="28">
        <f t="shared" si="39"/>
        <v>-2.5925479319908185E-3</v>
      </c>
      <c r="AF396" s="16">
        <v>170460000</v>
      </c>
      <c r="AG396" s="27">
        <f t="shared" si="33"/>
        <v>1.4944924084548949E-2</v>
      </c>
      <c r="AH396" s="16">
        <v>15378000</v>
      </c>
      <c r="AI396" s="31">
        <f t="shared" si="38"/>
        <v>7.402554864068156E-3</v>
      </c>
      <c r="AJ396" s="7">
        <f t="shared" si="37"/>
        <v>1406186.61</v>
      </c>
      <c r="AK396" s="27">
        <f t="shared" si="37"/>
        <v>-1.4361079014586497E-3</v>
      </c>
    </row>
    <row r="397" spans="1:37" ht="22.5" x14ac:dyDescent="0.55000000000000004">
      <c r="A397" s="7" t="s">
        <v>1202</v>
      </c>
      <c r="B397" s="25">
        <v>0.64583333333333337</v>
      </c>
      <c r="C397" s="7">
        <v>1408348.52</v>
      </c>
      <c r="D397" s="27">
        <f t="shared" si="26"/>
        <v>1.5374275253552394E-3</v>
      </c>
      <c r="E397" s="7">
        <v>409684.92</v>
      </c>
      <c r="F397" s="27">
        <f t="shared" si="35"/>
        <v>2.5528720501877267E-3</v>
      </c>
      <c r="G397" s="9">
        <v>52117173.816</v>
      </c>
      <c r="H397" s="9">
        <v>33384.228000000003</v>
      </c>
      <c r="I397" s="24">
        <f t="shared" si="36"/>
        <v>33.384228</v>
      </c>
      <c r="J397" s="24">
        <f>AVERAGE(I389:I397)</f>
        <v>35.797952888888886</v>
      </c>
      <c r="K397" s="11">
        <v>10147834.07</v>
      </c>
      <c r="L397" s="11">
        <v>3381184.9670000002</v>
      </c>
      <c r="M397" s="11">
        <v>1389065.1470000001</v>
      </c>
      <c r="N397" s="13">
        <v>3610</v>
      </c>
      <c r="O397" s="13">
        <f>173+200</f>
        <v>373</v>
      </c>
      <c r="P397" s="13">
        <f>188+191</f>
        <v>379</v>
      </c>
      <c r="Q397" s="13">
        <v>71</v>
      </c>
      <c r="R397" s="23">
        <v>2.2999999999999998</v>
      </c>
      <c r="S397" s="13">
        <v>26</v>
      </c>
      <c r="T397" s="23">
        <v>1.7</v>
      </c>
      <c r="U397" s="15" t="s">
        <v>1203</v>
      </c>
      <c r="V397" s="15" t="s">
        <v>1204</v>
      </c>
      <c r="W397" s="7">
        <v>-45</v>
      </c>
      <c r="X397" s="7">
        <v>339161</v>
      </c>
      <c r="Y397" s="27">
        <f t="shared" si="41"/>
        <v>7.0728875612791064E-3</v>
      </c>
      <c r="Z397" s="7">
        <v>17165600</v>
      </c>
      <c r="AA397" s="16">
        <v>320595</v>
      </c>
      <c r="AB397" s="17">
        <f t="shared" si="30"/>
        <v>204.76362030911275</v>
      </c>
      <c r="AC397" s="27">
        <f t="shared" si="40"/>
        <v>6.3091482649841879E-3</v>
      </c>
      <c r="AD397" s="19">
        <v>16211</v>
      </c>
      <c r="AE397" s="28">
        <f t="shared" si="39"/>
        <v>-2.0068911322009275E-2</v>
      </c>
      <c r="AF397" s="16">
        <v>171020000</v>
      </c>
      <c r="AG397" s="27">
        <f t="shared" si="33"/>
        <v>3.2852282060307214E-3</v>
      </c>
      <c r="AH397" s="16">
        <v>15431000</v>
      </c>
      <c r="AI397" s="31">
        <f t="shared" si="38"/>
        <v>3.4464819872546126E-3</v>
      </c>
      <c r="AJ397" s="7">
        <f t="shared" si="37"/>
        <v>1408348.52</v>
      </c>
      <c r="AK397" s="27">
        <f t="shared" si="37"/>
        <v>1.5374275253552394E-3</v>
      </c>
    </row>
    <row r="398" spans="1:37" ht="22.5" x14ac:dyDescent="0.55000000000000004">
      <c r="A398" s="32" t="s">
        <v>1205</v>
      </c>
      <c r="B398" s="39">
        <v>0.64583333333333337</v>
      </c>
      <c r="C398" s="32">
        <v>1414203.26</v>
      </c>
      <c r="D398" s="43">
        <v>4.1571670057920507E-3</v>
      </c>
      <c r="E398" s="32">
        <v>412653.43</v>
      </c>
      <c r="F398" s="43">
        <v>7.2458366297689647E-3</v>
      </c>
      <c r="G398" s="42">
        <v>52332531.965999998</v>
      </c>
      <c r="H398" s="42">
        <v>29350.655999999999</v>
      </c>
      <c r="I398" s="38">
        <v>29.350656000000001</v>
      </c>
      <c r="J398" s="38">
        <v>34.974825555555555</v>
      </c>
      <c r="K398" s="40">
        <v>10174631.76</v>
      </c>
      <c r="L398" s="40">
        <v>3397879.3289999999</v>
      </c>
      <c r="M398" s="40">
        <v>54879.64</v>
      </c>
      <c r="N398" s="34">
        <v>3457</v>
      </c>
      <c r="O398" s="34">
        <v>440</v>
      </c>
      <c r="P398" s="34">
        <v>242</v>
      </c>
      <c r="Q398" s="34">
        <v>81</v>
      </c>
      <c r="R398" s="37">
        <v>2.6</v>
      </c>
      <c r="S398" s="34">
        <v>22</v>
      </c>
      <c r="T398" s="37">
        <v>1.6</v>
      </c>
      <c r="U398" s="33" t="s">
        <v>1206</v>
      </c>
      <c r="V398" s="33" t="s">
        <v>1207</v>
      </c>
      <c r="W398" s="32">
        <v>-57</v>
      </c>
      <c r="X398" s="32">
        <v>338067</v>
      </c>
      <c r="Y398" s="43">
        <v>-2.9727936297279101E-3</v>
      </c>
      <c r="Z398" s="32">
        <v>20455400</v>
      </c>
      <c r="AA398" s="35">
        <v>324615</v>
      </c>
      <c r="AB398" s="41">
        <v>203.02525470172358</v>
      </c>
      <c r="AC398" s="43">
        <v>1.2539184952978122E-2</v>
      </c>
      <c r="AD398" s="36">
        <v>16499</v>
      </c>
      <c r="AE398" s="44">
        <v>1.7765714638208641E-2</v>
      </c>
      <c r="AF398" s="35">
        <v>170250000</v>
      </c>
      <c r="AG398" s="43">
        <v>-4.5023973804233508E-3</v>
      </c>
      <c r="AH398" s="35">
        <v>15293000</v>
      </c>
      <c r="AI398" s="45">
        <v>-8.9430367442161485E-3</v>
      </c>
      <c r="AJ398" s="32">
        <v>1414203.26</v>
      </c>
      <c r="AK398" s="43">
        <v>4.1571670057920507E-3</v>
      </c>
    </row>
    <row r="399" spans="1:37" ht="22.5" x14ac:dyDescent="0.55000000000000004">
      <c r="A399" s="32" t="s">
        <v>1208</v>
      </c>
      <c r="B399" s="39">
        <v>0.64583333333333337</v>
      </c>
      <c r="C399" s="32">
        <v>1417371.78</v>
      </c>
      <c r="D399" s="43">
        <v>2.2404983000816614E-3</v>
      </c>
      <c r="E399" s="32">
        <v>413115.86</v>
      </c>
      <c r="F399" s="43">
        <v>1.1206256058504671E-3</v>
      </c>
      <c r="G399" s="42">
        <v>52449439.296999998</v>
      </c>
      <c r="H399" s="42">
        <v>27567.983</v>
      </c>
      <c r="I399" s="38">
        <v>27.567983000000002</v>
      </c>
      <c r="J399" s="38">
        <v>33.058715666666671</v>
      </c>
      <c r="K399" s="40">
        <v>10181009.096999999</v>
      </c>
      <c r="L399" s="40">
        <v>3402808.72</v>
      </c>
      <c r="M399" s="40">
        <v>70889.179000000004</v>
      </c>
      <c r="N399" s="34">
        <v>2869</v>
      </c>
      <c r="O399" s="34">
        <v>364</v>
      </c>
      <c r="P399" s="34">
        <v>334</v>
      </c>
      <c r="Q399" s="34">
        <v>53</v>
      </c>
      <c r="R399" s="37">
        <v>1.55</v>
      </c>
      <c r="S399" s="34">
        <v>31</v>
      </c>
      <c r="T399" s="37">
        <v>1.6</v>
      </c>
      <c r="U399" s="33" t="s">
        <v>1209</v>
      </c>
      <c r="V399" s="33" t="s">
        <v>1210</v>
      </c>
      <c r="W399" s="32">
        <v>-78</v>
      </c>
      <c r="X399" s="32">
        <v>338842</v>
      </c>
      <c r="Y399" s="43">
        <v>2.2924449887151699E-3</v>
      </c>
      <c r="Z399" s="32">
        <v>19629800</v>
      </c>
      <c r="AA399" s="35">
        <v>328133</v>
      </c>
      <c r="AB399" s="41">
        <v>201.2393057510217</v>
      </c>
      <c r="AC399" s="43">
        <v>1.0837453598878666E-2</v>
      </c>
      <c r="AD399" s="36">
        <v>16888</v>
      </c>
      <c r="AE399" s="44">
        <v>2.357718649615137E-2</v>
      </c>
      <c r="AF399" s="35">
        <v>169880000</v>
      </c>
      <c r="AG399" s="43">
        <v>-2.1732745961821065E-3</v>
      </c>
      <c r="AH399" s="35">
        <v>15466000</v>
      </c>
      <c r="AI399" s="45">
        <v>1.1312365134375169E-2</v>
      </c>
      <c r="AJ399" s="32">
        <v>1417371.78</v>
      </c>
      <c r="AK399" s="43">
        <v>2.2404983000816614E-3</v>
      </c>
    </row>
    <row r="400" spans="1:37" ht="22.5" x14ac:dyDescent="0.55000000000000004">
      <c r="A400" s="32" t="s">
        <v>1211</v>
      </c>
      <c r="B400" s="39">
        <v>0.64583333333333337</v>
      </c>
      <c r="C400" s="32">
        <v>1417719.84</v>
      </c>
      <c r="D400" s="43">
        <v>2.4556718633128582E-4</v>
      </c>
      <c r="E400" s="32">
        <v>413018.92</v>
      </c>
      <c r="F400" s="43">
        <v>-2.3465572103675836E-4</v>
      </c>
      <c r="G400" s="42">
        <v>52466474.762000002</v>
      </c>
      <c r="H400" s="42">
        <v>30140.089</v>
      </c>
      <c r="I400" s="38">
        <v>30.140089</v>
      </c>
      <c r="J400" s="38">
        <v>32.412280777777781</v>
      </c>
      <c r="K400" s="40">
        <v>10171429.370999999</v>
      </c>
      <c r="L400" s="40">
        <v>3421466.7949999999</v>
      </c>
      <c r="M400" s="40">
        <v>159040.73199999999</v>
      </c>
      <c r="N400" s="34">
        <v>2948</v>
      </c>
      <c r="O400" s="34">
        <v>326</v>
      </c>
      <c r="P400" s="34">
        <v>369</v>
      </c>
      <c r="Q400" s="34">
        <v>70</v>
      </c>
      <c r="R400" s="37">
        <v>1.36</v>
      </c>
      <c r="S400" s="34">
        <v>32</v>
      </c>
      <c r="T400" s="37">
        <v>1.66</v>
      </c>
      <c r="U400" s="33" t="s">
        <v>1212</v>
      </c>
      <c r="V400" s="33" t="s">
        <v>1213</v>
      </c>
      <c r="W400" s="32">
        <v>-206</v>
      </c>
      <c r="X400" s="32">
        <v>346594</v>
      </c>
      <c r="Y400" s="43">
        <v>2.2877919502305E-2</v>
      </c>
      <c r="Z400" s="32">
        <v>16717900</v>
      </c>
      <c r="AA400" s="35">
        <v>335670</v>
      </c>
      <c r="AB400" s="41">
        <v>196.79855491405249</v>
      </c>
      <c r="AC400" s="43">
        <v>2.2969344747404197E-2</v>
      </c>
      <c r="AD400" s="36">
        <v>16948</v>
      </c>
      <c r="AE400" s="44">
        <v>3.5528185693984859E-3</v>
      </c>
      <c r="AF400" s="35">
        <v>173750000</v>
      </c>
      <c r="AG400" s="43">
        <v>2.2780786437485379E-2</v>
      </c>
      <c r="AH400" s="35">
        <v>15685000</v>
      </c>
      <c r="AI400" s="45">
        <v>1.4160093107461469E-2</v>
      </c>
      <c r="AJ400" s="32">
        <v>1417719.84</v>
      </c>
      <c r="AK400" s="43">
        <v>2.4556718633128582E-4</v>
      </c>
    </row>
    <row r="401" spans="1:37" ht="22.5" x14ac:dyDescent="0.55000000000000004">
      <c r="A401" s="32" t="s">
        <v>1214</v>
      </c>
      <c r="B401" s="39">
        <v>0.64583333333333337</v>
      </c>
      <c r="C401" s="32">
        <v>1417859.36</v>
      </c>
      <c r="D401" s="43">
        <v>9.84115451188039E-5</v>
      </c>
      <c r="E401" s="32">
        <v>414091</v>
      </c>
      <c r="F401" s="43">
        <v>2.5957164383656472E-3</v>
      </c>
      <c r="G401" s="42">
        <v>52480954.199000001</v>
      </c>
      <c r="H401" s="42">
        <v>31765.108</v>
      </c>
      <c r="I401" s="38">
        <v>31.765108000000001</v>
      </c>
      <c r="J401" s="38">
        <v>31.748581888888893</v>
      </c>
      <c r="K401" s="40">
        <v>10160542.479</v>
      </c>
      <c r="L401" s="40">
        <v>3428591.7549999999</v>
      </c>
      <c r="M401" s="40">
        <v>45129.088000000003</v>
      </c>
      <c r="N401" s="34">
        <v>3294</v>
      </c>
      <c r="O401" s="34">
        <v>368</v>
      </c>
      <c r="P401" s="34">
        <v>333</v>
      </c>
      <c r="Q401" s="34">
        <v>73</v>
      </c>
      <c r="R401" s="37">
        <v>1.99</v>
      </c>
      <c r="S401" s="34">
        <v>26</v>
      </c>
      <c r="T401" s="37">
        <v>2.2999999999999998</v>
      </c>
      <c r="U401" s="33" t="s">
        <v>1215</v>
      </c>
      <c r="V401" s="33" t="s">
        <v>1216</v>
      </c>
      <c r="W401" s="32">
        <v>-147</v>
      </c>
      <c r="X401" s="32">
        <v>346653</v>
      </c>
      <c r="Y401" s="43">
        <v>1.7022799009791534E-4</v>
      </c>
      <c r="Z401" s="32">
        <v>14119600</v>
      </c>
      <c r="AA401" s="35">
        <v>335670</v>
      </c>
      <c r="AB401" s="41">
        <v>196.8304836089016</v>
      </c>
      <c r="AC401" s="43">
        <v>0</v>
      </c>
      <c r="AD401" s="36">
        <v>16952</v>
      </c>
      <c r="AE401" s="44">
        <v>2.3601604909129215E-4</v>
      </c>
      <c r="AF401" s="35">
        <v>176050000</v>
      </c>
      <c r="AG401" s="43">
        <v>1.3237410071942346E-2</v>
      </c>
      <c r="AH401" s="35">
        <v>15941000</v>
      </c>
      <c r="AI401" s="45">
        <v>1.632132610774617E-2</v>
      </c>
      <c r="AJ401" s="32">
        <v>1417859.36</v>
      </c>
      <c r="AK401" s="43">
        <v>9.84115451188039E-5</v>
      </c>
    </row>
    <row r="402" spans="1:37" ht="22.5" x14ac:dyDescent="0.55000000000000004">
      <c r="A402" s="32" t="s">
        <v>1217</v>
      </c>
      <c r="B402" s="39">
        <v>0.64583333333333337</v>
      </c>
      <c r="C402" s="32">
        <v>1413603.61</v>
      </c>
      <c r="D402" s="43">
        <v>-3.0015318303502347E-3</v>
      </c>
      <c r="E402" s="32">
        <v>414574.21</v>
      </c>
      <c r="F402" s="43">
        <v>1.1669174167030505E-3</v>
      </c>
      <c r="G402" s="42">
        <v>52323217.001999997</v>
      </c>
      <c r="H402" s="42">
        <v>28872.710999999999</v>
      </c>
      <c r="I402" s="38">
        <v>28.872710999999999</v>
      </c>
      <c r="J402" s="38">
        <v>31.356603555555555</v>
      </c>
      <c r="K402" s="40">
        <v>10152699.809</v>
      </c>
      <c r="L402" s="40">
        <v>3430344.1189999999</v>
      </c>
      <c r="M402" s="40">
        <v>1345339.31</v>
      </c>
      <c r="N402" s="34">
        <v>3442</v>
      </c>
      <c r="O402" s="34">
        <v>328</v>
      </c>
      <c r="P402" s="34">
        <v>437</v>
      </c>
      <c r="Q402" s="34">
        <v>86</v>
      </c>
      <c r="R402" s="37">
        <v>1.6</v>
      </c>
      <c r="S402" s="34">
        <v>22</v>
      </c>
      <c r="T402" s="37">
        <v>1.32</v>
      </c>
      <c r="U402" s="33" t="s">
        <v>1218</v>
      </c>
      <c r="V402" s="33" t="s">
        <v>1219</v>
      </c>
      <c r="W402" s="32">
        <v>-222</v>
      </c>
      <c r="X402" s="32">
        <v>348564</v>
      </c>
      <c r="Y402" s="43">
        <v>5.5127173282791819E-3</v>
      </c>
      <c r="Z402" s="32">
        <v>14867400</v>
      </c>
      <c r="AA402" s="35">
        <v>335670</v>
      </c>
      <c r="AB402" s="41">
        <v>196.34242240891351</v>
      </c>
      <c r="AC402" s="43">
        <v>0</v>
      </c>
      <c r="AD402" s="36">
        <v>17307</v>
      </c>
      <c r="AE402" s="44">
        <v>2.0941481831052489E-2</v>
      </c>
      <c r="AF402" s="35">
        <v>177610000</v>
      </c>
      <c r="AG402" s="43">
        <v>8.861119000284079E-3</v>
      </c>
      <c r="AH402" s="35">
        <v>16001000</v>
      </c>
      <c r="AI402" s="45">
        <v>3.7638793049370456E-3</v>
      </c>
      <c r="AJ402" s="32">
        <v>1413603.61</v>
      </c>
      <c r="AK402" s="43">
        <v>-3.0015318303502347E-3</v>
      </c>
    </row>
    <row r="403" spans="1:37" ht="22.5" x14ac:dyDescent="0.55000000000000004">
      <c r="A403" s="32" t="s">
        <v>1220</v>
      </c>
      <c r="B403" s="39">
        <v>0.64583333333333337</v>
      </c>
      <c r="C403" s="32">
        <v>1409404.32</v>
      </c>
      <c r="D403" s="43">
        <v>-2.9706276712182511E-3</v>
      </c>
      <c r="E403" s="32">
        <v>416190.67</v>
      </c>
      <c r="F403" s="43">
        <v>3.8990847983524368E-3</v>
      </c>
      <c r="G403" s="42">
        <v>52162227.994000003</v>
      </c>
      <c r="H403" s="42">
        <v>31707.488000000001</v>
      </c>
      <c r="I403" s="38">
        <v>31.707488000000001</v>
      </c>
      <c r="J403" s="38">
        <v>30.743993444444445</v>
      </c>
      <c r="K403" s="40">
        <v>10123084.518999999</v>
      </c>
      <c r="L403" s="40">
        <v>3414184.7069999999</v>
      </c>
      <c r="M403" s="40">
        <v>41070.332000000002</v>
      </c>
      <c r="N403" s="34">
        <v>3453</v>
      </c>
      <c r="O403" s="34">
        <v>369</v>
      </c>
      <c r="P403" s="34">
        <v>324</v>
      </c>
      <c r="Q403" s="34">
        <v>94</v>
      </c>
      <c r="R403" s="37">
        <v>2.4500000000000002</v>
      </c>
      <c r="S403" s="34">
        <v>20</v>
      </c>
      <c r="T403" s="37">
        <v>1.82</v>
      </c>
      <c r="U403" s="33" t="s">
        <v>1221</v>
      </c>
      <c r="V403" s="33" t="s">
        <v>1222</v>
      </c>
      <c r="W403" s="32">
        <v>-122</v>
      </c>
      <c r="X403" s="32">
        <v>347126</v>
      </c>
      <c r="Y403" s="43">
        <v>-4.1254977565096107E-3</v>
      </c>
      <c r="Z403" s="32">
        <v>14361500</v>
      </c>
      <c r="AA403" s="35">
        <v>335670</v>
      </c>
      <c r="AB403" s="41">
        <v>195.72644925075221</v>
      </c>
      <c r="AC403" s="43">
        <v>0</v>
      </c>
      <c r="AD403" s="36">
        <v>16977</v>
      </c>
      <c r="AE403" s="44">
        <v>-1.9067429363841204E-2</v>
      </c>
      <c r="AF403" s="35">
        <v>173410000</v>
      </c>
      <c r="AG403" s="43">
        <v>-2.3647317155565561E-2</v>
      </c>
      <c r="AH403" s="35">
        <v>15740000</v>
      </c>
      <c r="AI403" s="45">
        <v>-1.6311480532466671E-2</v>
      </c>
      <c r="AJ403" s="32">
        <v>1409404.32</v>
      </c>
      <c r="AK403" s="43">
        <v>-2.9706276712182511E-3</v>
      </c>
    </row>
    <row r="404" spans="1:37" ht="22.5" x14ac:dyDescent="0.55000000000000004">
      <c r="A404" s="32" t="s">
        <v>1223</v>
      </c>
      <c r="B404" s="39">
        <v>0.625</v>
      </c>
      <c r="C404" s="32">
        <v>1402824.8</v>
      </c>
      <c r="D404" s="43">
        <v>-4.668298448240904E-3</v>
      </c>
      <c r="E404" s="32">
        <v>417084.77</v>
      </c>
      <c r="F404" s="43">
        <v>2.1482941941011191E-3</v>
      </c>
      <c r="G404" s="42">
        <v>51921058.192000002</v>
      </c>
      <c r="H404" s="42">
        <v>44701.194000000003</v>
      </c>
      <c r="I404" s="38">
        <v>44.701194000000001</v>
      </c>
      <c r="J404" s="38">
        <v>31.980429999999998</v>
      </c>
      <c r="K404" s="40">
        <v>10097951.33</v>
      </c>
      <c r="L404" s="40">
        <v>3423161.2059999998</v>
      </c>
      <c r="M404" s="40">
        <v>34623.858999999997</v>
      </c>
      <c r="N404" s="34">
        <v>4388</v>
      </c>
      <c r="O404" s="34">
        <v>310</v>
      </c>
      <c r="P404" s="34">
        <v>391</v>
      </c>
      <c r="Q404" s="34">
        <v>69</v>
      </c>
      <c r="R404" s="37">
        <v>2.48</v>
      </c>
      <c r="S404" s="34">
        <v>29</v>
      </c>
      <c r="T404" s="37">
        <v>0.39800000000000002</v>
      </c>
      <c r="U404" s="33" t="s">
        <v>1224</v>
      </c>
      <c r="V404" s="33" t="s">
        <v>1225</v>
      </c>
      <c r="W404" s="32">
        <v>-119</v>
      </c>
      <c r="X404" s="32">
        <v>344506</v>
      </c>
      <c r="Y404" s="43">
        <v>-7.5476916163007557E-3</v>
      </c>
      <c r="Z404" s="32">
        <v>14973600</v>
      </c>
      <c r="AA404" s="35">
        <v>335670</v>
      </c>
      <c r="AB404" s="41">
        <v>194.95984367980458</v>
      </c>
      <c r="AC404" s="43">
        <v>0</v>
      </c>
      <c r="AD404" s="36">
        <v>16827</v>
      </c>
      <c r="AE404" s="44">
        <v>-8.8354833009365308E-3</v>
      </c>
      <c r="AF404" s="35">
        <v>173690000</v>
      </c>
      <c r="AG404" s="43">
        <v>1.6146704342310247E-3</v>
      </c>
      <c r="AH404" s="35">
        <v>15773000</v>
      </c>
      <c r="AI404" s="45">
        <v>2.0965692503176481E-3</v>
      </c>
      <c r="AJ404" s="32">
        <v>1402824.8</v>
      </c>
      <c r="AK404" s="43">
        <v>-4.668298448240904E-3</v>
      </c>
    </row>
    <row r="405" spans="1:37" ht="22.5" x14ac:dyDescent="0.55000000000000004">
      <c r="A405" s="32" t="s">
        <v>1226</v>
      </c>
      <c r="B405" s="39">
        <v>0.65625</v>
      </c>
      <c r="C405" s="32">
        <v>1383737</v>
      </c>
      <c r="D405" s="43">
        <f t="shared" ref="D405:D409" si="42">C405/C404-1</f>
        <v>-1.3606688447481141E-2</v>
      </c>
      <c r="E405" s="32">
        <v>412830.45</v>
      </c>
      <c r="F405" s="43">
        <f t="shared" ref="F405:F409" si="43">E405/E404-1</f>
        <v>-1.0200132697245179E-2</v>
      </c>
      <c r="G405" s="42">
        <v>51215822.504000001</v>
      </c>
      <c r="H405" s="42">
        <v>40414.387999999999</v>
      </c>
      <c r="I405" s="38">
        <f t="shared" ref="I405:I409" si="44">H405/1000</f>
        <v>40.414388000000002</v>
      </c>
      <c r="J405" s="38">
        <f t="shared" ref="J405:J409" si="45">AVERAGE(I397:I405)</f>
        <v>33.10042722222223</v>
      </c>
      <c r="K405" s="40">
        <v>10039516.067</v>
      </c>
      <c r="L405" s="40">
        <v>3410462.8319999999</v>
      </c>
      <c r="M405" s="40">
        <v>26840.245999999999</v>
      </c>
      <c r="N405" s="34">
        <v>3912</v>
      </c>
      <c r="O405" s="34">
        <f>90+114</f>
        <v>204</v>
      </c>
      <c r="P405" s="34">
        <f>306+182</f>
        <v>488</v>
      </c>
      <c r="Q405" s="34">
        <v>54</v>
      </c>
      <c r="R405" s="37">
        <v>1.56</v>
      </c>
      <c r="S405" s="34">
        <v>62</v>
      </c>
      <c r="T405" s="37">
        <v>0.71699999999999997</v>
      </c>
      <c r="U405" s="33" t="s">
        <v>1227</v>
      </c>
      <c r="V405" s="33" t="s">
        <v>1228</v>
      </c>
      <c r="W405" s="32">
        <v>-485</v>
      </c>
      <c r="X405" s="32">
        <v>349897</v>
      </c>
      <c r="Y405" s="43">
        <f t="shared" ref="Y405:Y409" si="46">X405/X404-1</f>
        <v>1.5648493785304085E-2</v>
      </c>
      <c r="Z405" s="32">
        <v>17289400</v>
      </c>
      <c r="AA405" s="35">
        <v>335670</v>
      </c>
      <c r="AB405" s="41">
        <f t="shared" ref="AB405:AB409" si="47">(L405+K405+G405)/AA405</f>
        <v>192.64694909583815</v>
      </c>
      <c r="AC405" s="43">
        <f t="shared" ref="AC405:AC409" si="48">(AA405/AA404-1)</f>
        <v>0</v>
      </c>
      <c r="AD405" s="36">
        <v>17168</v>
      </c>
      <c r="AE405" s="44">
        <f t="shared" ref="AE405:AE409" si="49">(AD405/AD404)-1</f>
        <v>2.0265050216913272E-2</v>
      </c>
      <c r="AF405" s="35">
        <v>178110000</v>
      </c>
      <c r="AG405" s="43">
        <f t="shared" ref="AG405:AG409" si="50">(AF405/AF404)-1</f>
        <v>2.5447636593931788E-2</v>
      </c>
      <c r="AH405" s="35">
        <v>16301000</v>
      </c>
      <c r="AI405" s="45">
        <f t="shared" ref="AI405:AI409" si="51">(AH405/AH404)-1</f>
        <v>3.347492550561082E-2</v>
      </c>
      <c r="AJ405" s="32">
        <f t="shared" ref="AJ405:AK409" si="52">C405</f>
        <v>1383737</v>
      </c>
      <c r="AK405" s="43">
        <f t="shared" si="52"/>
        <v>-1.3606688447481141E-2</v>
      </c>
    </row>
    <row r="406" spans="1:37" ht="22.5" x14ac:dyDescent="0.55000000000000004">
      <c r="A406" s="32" t="s">
        <v>1229</v>
      </c>
      <c r="B406" s="39">
        <v>0.67708333333333337</v>
      </c>
      <c r="C406" s="32">
        <v>1389361.14</v>
      </c>
      <c r="D406" s="43">
        <f t="shared" si="42"/>
        <v>4.0644573354617908E-3</v>
      </c>
      <c r="E406" s="32">
        <v>414250.22</v>
      </c>
      <c r="F406" s="43">
        <f t="shared" si="43"/>
        <v>3.439111625607838E-3</v>
      </c>
      <c r="G406" s="42">
        <v>51414788.281000003</v>
      </c>
      <c r="H406" s="42">
        <v>37499.336000000003</v>
      </c>
      <c r="I406" s="38">
        <f t="shared" si="44"/>
        <v>37.499336</v>
      </c>
      <c r="J406" s="38">
        <f t="shared" si="45"/>
        <v>33.557661444444449</v>
      </c>
      <c r="K406" s="40">
        <v>10062897.181</v>
      </c>
      <c r="L406" s="40">
        <v>3411716.67</v>
      </c>
      <c r="M406" s="40">
        <v>24233.656999999999</v>
      </c>
      <c r="N406" s="34">
        <v>3680</v>
      </c>
      <c r="O406" s="34">
        <f>174+219</f>
        <v>393</v>
      </c>
      <c r="P406" s="34">
        <f>133+166</f>
        <v>299</v>
      </c>
      <c r="Q406" s="34">
        <v>71</v>
      </c>
      <c r="R406" s="37">
        <v>2.0499999999999998</v>
      </c>
      <c r="S406" s="34">
        <v>20</v>
      </c>
      <c r="T406" s="37">
        <v>0.42199999999999999</v>
      </c>
      <c r="U406" s="33" t="s">
        <v>1230</v>
      </c>
      <c r="V406" s="33" t="s">
        <v>1231</v>
      </c>
      <c r="W406" s="32">
        <v>-17</v>
      </c>
      <c r="X406" s="32">
        <v>350844</v>
      </c>
      <c r="Y406" s="43">
        <f t="shared" si="46"/>
        <v>2.7065107731703009E-3</v>
      </c>
      <c r="Z406" s="32">
        <v>16666100</v>
      </c>
      <c r="AA406" s="35">
        <v>335670</v>
      </c>
      <c r="AB406" s="41">
        <f t="shared" si="47"/>
        <v>193.31308169332976</v>
      </c>
      <c r="AC406" s="43">
        <f t="shared" si="48"/>
        <v>0</v>
      </c>
      <c r="AD406" s="36">
        <v>17172</v>
      </c>
      <c r="AE406" s="44">
        <f t="shared" si="49"/>
        <v>2.3299161230205812E-4</v>
      </c>
      <c r="AF406" s="35">
        <v>179150000</v>
      </c>
      <c r="AG406" s="43">
        <f t="shared" si="50"/>
        <v>5.8390882039189851E-3</v>
      </c>
      <c r="AH406" s="35">
        <v>16463000</v>
      </c>
      <c r="AI406" s="45">
        <f t="shared" si="51"/>
        <v>9.9380406110054498E-3</v>
      </c>
      <c r="AJ406" s="32">
        <f t="shared" si="52"/>
        <v>1389361.14</v>
      </c>
      <c r="AK406" s="43">
        <f t="shared" si="52"/>
        <v>4.0644573354617908E-3</v>
      </c>
    </row>
    <row r="407" spans="1:37" ht="22.5" x14ac:dyDescent="0.55000000000000004">
      <c r="A407" s="32" t="s">
        <v>1232</v>
      </c>
      <c r="B407" s="39">
        <v>0.65625</v>
      </c>
      <c r="C407" s="32">
        <v>1409373.96</v>
      </c>
      <c r="D407" s="43">
        <f t="shared" si="42"/>
        <v>1.4404332627296679E-2</v>
      </c>
      <c r="E407" s="32">
        <v>420384</v>
      </c>
      <c r="F407" s="43">
        <f t="shared" si="43"/>
        <v>1.4806944459800242E-2</v>
      </c>
      <c r="G407" s="42">
        <v>52157747.675999999</v>
      </c>
      <c r="H407" s="42">
        <v>43235.493000000002</v>
      </c>
      <c r="I407" s="38">
        <f t="shared" si="44"/>
        <v>43.235493000000005</v>
      </c>
      <c r="J407" s="38">
        <f t="shared" si="45"/>
        <v>35.10042111111111</v>
      </c>
      <c r="K407" s="40">
        <v>10125393.605</v>
      </c>
      <c r="L407" s="40">
        <v>3439031.3640000001</v>
      </c>
      <c r="M407" s="40">
        <v>1875695.6640000001</v>
      </c>
      <c r="N407" s="34">
        <v>2944</v>
      </c>
      <c r="O407" s="34">
        <f>226+339</f>
        <v>565</v>
      </c>
      <c r="P407" s="34">
        <f>151+63</f>
        <v>214</v>
      </c>
      <c r="Q407" s="34">
        <v>104</v>
      </c>
      <c r="R407" s="37">
        <v>2.7</v>
      </c>
      <c r="S407" s="34">
        <v>18</v>
      </c>
      <c r="T407" s="37">
        <v>0.4</v>
      </c>
      <c r="U407" s="33" t="s">
        <v>1233</v>
      </c>
      <c r="V407" s="33" t="s">
        <v>1234</v>
      </c>
      <c r="W407" s="32">
        <v>120</v>
      </c>
      <c r="X407" s="32">
        <v>354118</v>
      </c>
      <c r="Y407" s="43">
        <f t="shared" si="46"/>
        <v>9.3317827866516989E-3</v>
      </c>
      <c r="Z407" s="32">
        <v>23172600</v>
      </c>
      <c r="AA407" s="35">
        <v>357734</v>
      </c>
      <c r="AB407" s="41">
        <f t="shared" si="47"/>
        <v>183.71799338335185</v>
      </c>
      <c r="AC407" s="43">
        <f t="shared" si="48"/>
        <v>6.573122411892629E-2</v>
      </c>
      <c r="AD407" s="36">
        <v>17004</v>
      </c>
      <c r="AE407" s="44">
        <f t="shared" si="49"/>
        <v>-9.7833682739343342E-3</v>
      </c>
      <c r="AF407" s="35">
        <v>185880000</v>
      </c>
      <c r="AG407" s="43">
        <f t="shared" si="50"/>
        <v>3.7566285235835828E-2</v>
      </c>
      <c r="AH407" s="35">
        <v>16659000</v>
      </c>
      <c r="AI407" s="45">
        <f t="shared" si="51"/>
        <v>1.1905485027030371E-2</v>
      </c>
      <c r="AJ407" s="32">
        <f t="shared" si="52"/>
        <v>1409373.96</v>
      </c>
      <c r="AK407" s="43">
        <f t="shared" si="52"/>
        <v>1.4404332627296679E-2</v>
      </c>
    </row>
    <row r="408" spans="1:37" ht="22.5" x14ac:dyDescent="0.55000000000000004">
      <c r="A408" s="32" t="s">
        <v>1235</v>
      </c>
      <c r="B408" s="39">
        <v>0.64583333333333337</v>
      </c>
      <c r="C408" s="32">
        <v>1454487.68</v>
      </c>
      <c r="D408" s="43">
        <f t="shared" si="42"/>
        <v>3.2009758432034685E-2</v>
      </c>
      <c r="E408" s="32">
        <v>430125.88</v>
      </c>
      <c r="F408" s="43">
        <f t="shared" si="43"/>
        <v>2.3173764938722696E-2</v>
      </c>
      <c r="G408" s="42">
        <v>53826501.160999998</v>
      </c>
      <c r="H408" s="42">
        <v>68893.066000000006</v>
      </c>
      <c r="I408" s="38">
        <f t="shared" si="44"/>
        <v>68.893066000000005</v>
      </c>
      <c r="J408" s="38">
        <f t="shared" si="45"/>
        <v>39.692097000000004</v>
      </c>
      <c r="K408" s="40">
        <v>10243088.130000001</v>
      </c>
      <c r="L408" s="40">
        <v>3497818.9580000001</v>
      </c>
      <c r="M408" s="40">
        <v>41077.906000000003</v>
      </c>
      <c r="N408" s="34">
        <v>6267</v>
      </c>
      <c r="O408" s="34">
        <f>235+374</f>
        <v>609</v>
      </c>
      <c r="P408" s="34">
        <f>41+79</f>
        <v>120</v>
      </c>
      <c r="Q408" s="34">
        <v>148</v>
      </c>
      <c r="R408" s="37">
        <v>4.17</v>
      </c>
      <c r="S408" s="34">
        <v>12</v>
      </c>
      <c r="T408" s="37">
        <v>1.07</v>
      </c>
      <c r="U408" s="33" t="s">
        <v>1236</v>
      </c>
      <c r="V408" s="33" t="s">
        <v>1237</v>
      </c>
      <c r="W408" s="32">
        <v>460</v>
      </c>
      <c r="X408" s="32">
        <v>359458</v>
      </c>
      <c r="Y408" s="43">
        <f t="shared" si="46"/>
        <v>1.5079719189648566E-2</v>
      </c>
      <c r="Z408" s="32">
        <v>22614800</v>
      </c>
      <c r="AA408" s="35">
        <v>363524</v>
      </c>
      <c r="AB408" s="41">
        <f t="shared" si="47"/>
        <v>185.86780583675355</v>
      </c>
      <c r="AC408" s="43">
        <f t="shared" si="48"/>
        <v>1.6185210240010628E-2</v>
      </c>
      <c r="AD408" s="36">
        <v>17423</v>
      </c>
      <c r="AE408" s="44">
        <f t="shared" si="49"/>
        <v>2.4641260879793014E-2</v>
      </c>
      <c r="AF408" s="35">
        <v>183470000</v>
      </c>
      <c r="AG408" s="43">
        <f t="shared" si="50"/>
        <v>-1.2965353991822637E-2</v>
      </c>
      <c r="AH408" s="35">
        <v>16798000</v>
      </c>
      <c r="AI408" s="45">
        <f t="shared" si="51"/>
        <v>8.3438381655560612E-3</v>
      </c>
      <c r="AJ408" s="32">
        <f t="shared" si="52"/>
        <v>1454487.68</v>
      </c>
      <c r="AK408" s="43">
        <f t="shared" si="52"/>
        <v>3.2009758432034685E-2</v>
      </c>
    </row>
    <row r="409" spans="1:37" ht="22.5" x14ac:dyDescent="0.55000000000000004">
      <c r="A409" s="32" t="s">
        <v>1238</v>
      </c>
      <c r="B409" s="39">
        <v>0.61458333333333337</v>
      </c>
      <c r="C409" s="32">
        <v>1472759.77</v>
      </c>
      <c r="D409" s="43">
        <f t="shared" si="42"/>
        <v>1.256256085991736E-2</v>
      </c>
      <c r="E409" s="32">
        <v>433763.49</v>
      </c>
      <c r="F409" s="43">
        <f t="shared" si="43"/>
        <v>8.4570823778378212E-3</v>
      </c>
      <c r="G409" s="42">
        <v>54504815.728</v>
      </c>
      <c r="H409" s="42">
        <v>60697.156000000003</v>
      </c>
      <c r="I409" s="38">
        <f t="shared" si="44"/>
        <v>60.697156</v>
      </c>
      <c r="J409" s="38">
        <f t="shared" si="45"/>
        <v>43.087326666666669</v>
      </c>
      <c r="K409" s="40">
        <v>10265848.914000001</v>
      </c>
      <c r="L409" s="40">
        <v>3527996.6359999999</v>
      </c>
      <c r="M409" s="40">
        <v>38329.661</v>
      </c>
      <c r="N409" s="34">
        <v>4301</v>
      </c>
      <c r="O409" s="34">
        <f>185+261</f>
        <v>446</v>
      </c>
      <c r="P409" s="34">
        <f>128+147</f>
        <v>275</v>
      </c>
      <c r="Q409" s="34">
        <v>99</v>
      </c>
      <c r="R409" s="37">
        <v>2.67</v>
      </c>
      <c r="S409" s="34">
        <v>14</v>
      </c>
      <c r="T409" s="37">
        <v>0.38100000000000001</v>
      </c>
      <c r="U409" s="33" t="s">
        <v>1239</v>
      </c>
      <c r="V409" s="33" t="s">
        <v>1240</v>
      </c>
      <c r="W409" s="32">
        <v>-152</v>
      </c>
      <c r="X409" s="32">
        <v>363235</v>
      </c>
      <c r="Y409" s="43">
        <f t="shared" si="46"/>
        <v>1.0507486270996846E-2</v>
      </c>
      <c r="Z409" s="32">
        <v>21462000</v>
      </c>
      <c r="AA409" s="35">
        <v>367663</v>
      </c>
      <c r="AB409" s="41">
        <f t="shared" si="47"/>
        <v>185.76430393594134</v>
      </c>
      <c r="AC409" s="43">
        <f t="shared" si="48"/>
        <v>1.138576820237458E-2</v>
      </c>
      <c r="AD409" s="36">
        <v>17822</v>
      </c>
      <c r="AE409" s="44">
        <f t="shared" si="49"/>
        <v>2.2900763358778553E-2</v>
      </c>
      <c r="AF409" s="35">
        <v>186020000</v>
      </c>
      <c r="AG409" s="43">
        <f t="shared" si="50"/>
        <v>1.3898730037608331E-2</v>
      </c>
      <c r="AH409" s="35">
        <v>16680000</v>
      </c>
      <c r="AI409" s="45">
        <f t="shared" si="51"/>
        <v>-7.0246457911655735E-3</v>
      </c>
      <c r="AJ409" s="32">
        <f t="shared" si="52"/>
        <v>1472759.77</v>
      </c>
      <c r="AK409" s="43">
        <f t="shared" si="52"/>
        <v>1.256256085991736E-2</v>
      </c>
    </row>
    <row r="410" spans="1:37" ht="22.5" x14ac:dyDescent="0.55000000000000004">
      <c r="A410" s="46" t="s">
        <v>1238</v>
      </c>
      <c r="B410" s="53">
        <v>0.61458333333333337</v>
      </c>
      <c r="C410" s="46">
        <v>1472759.77</v>
      </c>
      <c r="D410" s="57">
        <v>1.256256085991736E-2</v>
      </c>
      <c r="E410" s="46">
        <v>433763.49</v>
      </c>
      <c r="F410" s="57">
        <v>8.4570823778378212E-3</v>
      </c>
      <c r="G410" s="56">
        <v>54504815.728</v>
      </c>
      <c r="H410" s="56">
        <v>60697.156000000003</v>
      </c>
      <c r="I410" s="52">
        <v>60.697156</v>
      </c>
      <c r="J410" s="52">
        <v>43.087326666666669</v>
      </c>
      <c r="K410" s="54">
        <v>10265848.914000001</v>
      </c>
      <c r="L410" s="54">
        <v>3527996.6359999999</v>
      </c>
      <c r="M410" s="54">
        <v>38329.661</v>
      </c>
      <c r="N410" s="48">
        <v>4301</v>
      </c>
      <c r="O410" s="48">
        <v>446</v>
      </c>
      <c r="P410" s="48">
        <v>275</v>
      </c>
      <c r="Q410" s="48">
        <v>99</v>
      </c>
      <c r="R410" s="51">
        <v>2.67</v>
      </c>
      <c r="S410" s="48">
        <v>14</v>
      </c>
      <c r="T410" s="51">
        <v>0.38100000000000001</v>
      </c>
      <c r="U410" s="47" t="s">
        <v>1239</v>
      </c>
      <c r="V410" s="47" t="s">
        <v>1240</v>
      </c>
      <c r="W410" s="46">
        <v>-152</v>
      </c>
      <c r="X410" s="46">
        <v>363956</v>
      </c>
      <c r="Y410" s="57">
        <v>1.2513283888521132E-2</v>
      </c>
      <c r="Z410" s="46">
        <v>21462000</v>
      </c>
      <c r="AA410" s="49">
        <v>367663</v>
      </c>
      <c r="AB410" s="55">
        <v>185.76430393594134</v>
      </c>
      <c r="AC410" s="57">
        <v>1.138576820237458E-2</v>
      </c>
      <c r="AD410" s="50">
        <v>17822</v>
      </c>
      <c r="AE410" s="58">
        <v>2.2900763358778553E-2</v>
      </c>
      <c r="AF410" s="49">
        <v>186020000</v>
      </c>
      <c r="AG410" s="57">
        <v>1.3898730037608331E-2</v>
      </c>
      <c r="AH410" s="49">
        <v>16680000</v>
      </c>
      <c r="AI410" s="59">
        <v>-7.0246457911655735E-3</v>
      </c>
      <c r="AJ410" s="46">
        <v>1472759.77</v>
      </c>
      <c r="AK410" s="57">
        <v>1.256256085991736E-2</v>
      </c>
    </row>
    <row r="411" spans="1:37" ht="22.5" x14ac:dyDescent="0.55000000000000004">
      <c r="A411" s="46" t="s">
        <v>1241</v>
      </c>
      <c r="B411" s="53">
        <v>0.66666666666666663</v>
      </c>
      <c r="C411" s="46">
        <v>1469919.57</v>
      </c>
      <c r="D411" s="57">
        <v>-1.9284883100791905E-3</v>
      </c>
      <c r="E411" s="46">
        <v>436477.83</v>
      </c>
      <c r="F411" s="57">
        <v>6.2576497620858706E-3</v>
      </c>
      <c r="G411" s="56">
        <v>54399908.902999997</v>
      </c>
      <c r="H411" s="56">
        <v>40418.898999999998</v>
      </c>
      <c r="I411" s="52">
        <v>40.418898999999996</v>
      </c>
      <c r="J411" s="52">
        <v>44.048859</v>
      </c>
      <c r="K411" s="54">
        <v>10265158.441</v>
      </c>
      <c r="L411" s="54">
        <v>3556451.4720000001</v>
      </c>
      <c r="M411" s="54">
        <v>35582.656999999999</v>
      </c>
      <c r="N411" s="48">
        <v>4376</v>
      </c>
      <c r="O411" s="48">
        <v>415</v>
      </c>
      <c r="P411" s="48">
        <v>273</v>
      </c>
      <c r="Q411" s="48">
        <v>109</v>
      </c>
      <c r="R411" s="51">
        <v>2.68</v>
      </c>
      <c r="S411" s="48">
        <v>14</v>
      </c>
      <c r="T411" s="51">
        <v>1.19</v>
      </c>
      <c r="U411" s="47" t="s">
        <v>1242</v>
      </c>
      <c r="V411" s="47" t="s">
        <v>1243</v>
      </c>
      <c r="W411" s="46">
        <v>55</v>
      </c>
      <c r="X411" s="46">
        <v>363842</v>
      </c>
      <c r="Y411" s="57">
        <v>-3.1322467551020416E-4</v>
      </c>
      <c r="Z411" s="46">
        <v>23450500</v>
      </c>
      <c r="AA411" s="49">
        <v>366848</v>
      </c>
      <c r="AB411" s="55">
        <v>185.96671868457781</v>
      </c>
      <c r="AC411" s="57">
        <v>-2.2167038837196396E-3</v>
      </c>
      <c r="AD411" s="50">
        <v>16732</v>
      </c>
      <c r="AE411" s="58">
        <v>-6.11603635955561E-2</v>
      </c>
      <c r="AF411" s="49">
        <v>188950000</v>
      </c>
      <c r="AG411" s="57">
        <v>1.5750994516718686E-2</v>
      </c>
      <c r="AH411" s="49">
        <v>17149000</v>
      </c>
      <c r="AI411" s="59">
        <v>2.8117505995203906E-2</v>
      </c>
      <c r="AJ411" s="46">
        <v>1469919.57</v>
      </c>
      <c r="AK411" s="57">
        <v>-1.9284883100791905E-3</v>
      </c>
    </row>
    <row r="412" spans="1:37" ht="22.5" x14ac:dyDescent="0.55000000000000004">
      <c r="A412" s="46" t="s">
        <v>1244</v>
      </c>
      <c r="B412" s="53">
        <v>0.65625</v>
      </c>
      <c r="C412" s="46">
        <v>1500242.06</v>
      </c>
      <c r="D412" s="57">
        <v>2.0628672900790068E-2</v>
      </c>
      <c r="E412" s="46">
        <v>443962.75</v>
      </c>
      <c r="F412" s="57">
        <v>1.7148454023426574E-2</v>
      </c>
      <c r="G412" s="56">
        <v>55520399.670000002</v>
      </c>
      <c r="H412" s="56">
        <v>58120.154000000002</v>
      </c>
      <c r="I412" s="52">
        <v>58.120153999999999</v>
      </c>
      <c r="J412" s="52">
        <v>47.298574888888893</v>
      </c>
      <c r="K412" s="54">
        <v>10349260.551999999</v>
      </c>
      <c r="L412" s="54">
        <v>3587605.99</v>
      </c>
      <c r="M412" s="54">
        <v>37662.930999999997</v>
      </c>
      <c r="N412" s="48">
        <v>6101</v>
      </c>
      <c r="O412" s="48">
        <v>554</v>
      </c>
      <c r="P412" s="48">
        <v>183</v>
      </c>
      <c r="Q412" s="48">
        <v>127</v>
      </c>
      <c r="R412" s="51">
        <v>2.95</v>
      </c>
      <c r="S412" s="48">
        <v>12</v>
      </c>
      <c r="T412" s="51">
        <v>1.76</v>
      </c>
      <c r="U412" s="47" t="s">
        <v>1245</v>
      </c>
      <c r="V412" s="47" t="s">
        <v>1246</v>
      </c>
      <c r="W412" s="46">
        <v>187</v>
      </c>
      <c r="X412" s="46">
        <v>362723</v>
      </c>
      <c r="Y412" s="57">
        <v>-3.0755107986433217E-3</v>
      </c>
      <c r="Z412" s="46">
        <v>21710700</v>
      </c>
      <c r="AA412" s="49">
        <v>366150</v>
      </c>
      <c r="AB412" s="55">
        <v>189.69620705175473</v>
      </c>
      <c r="AC412" s="57">
        <v>-1.9026953942777869E-3</v>
      </c>
      <c r="AD412" s="50">
        <v>16734</v>
      </c>
      <c r="AE412" s="58">
        <v>1.1953143676790567E-4</v>
      </c>
      <c r="AF412" s="49">
        <v>185460000</v>
      </c>
      <c r="AG412" s="57">
        <v>-1.8470494839904705E-2</v>
      </c>
      <c r="AH412" s="49">
        <v>17421000</v>
      </c>
      <c r="AI412" s="59">
        <v>1.5860983147705454E-2</v>
      </c>
      <c r="AJ412" s="46">
        <v>1500242.06</v>
      </c>
      <c r="AK412" s="57">
        <v>2.0628672900790068E-2</v>
      </c>
    </row>
    <row r="413" spans="1:37" ht="22.5" x14ac:dyDescent="0.55000000000000004">
      <c r="A413" s="46" t="s">
        <v>1247</v>
      </c>
      <c r="B413" s="53">
        <v>0.58333333333333337</v>
      </c>
      <c r="C413" s="46">
        <v>1500917</v>
      </c>
      <c r="D413" s="57">
        <v>4.4988740017060103E-4</v>
      </c>
      <c r="E413" s="46">
        <v>443305.51</v>
      </c>
      <c r="F413" s="57">
        <v>-1.4803944700315652E-3</v>
      </c>
      <c r="G413" s="56">
        <v>55552285.001000002</v>
      </c>
      <c r="H413" s="56">
        <v>55667.324999999997</v>
      </c>
      <c r="I413" s="52">
        <v>55.667324999999998</v>
      </c>
      <c r="J413" s="52">
        <v>49.960779000000002</v>
      </c>
      <c r="K413" s="54">
        <v>10379664.182</v>
      </c>
      <c r="L413" s="54">
        <v>3618815.5389999999</v>
      </c>
      <c r="M413" s="54">
        <v>2083296.93</v>
      </c>
      <c r="N413" s="48">
        <v>6123</v>
      </c>
      <c r="O413" s="48">
        <v>277</v>
      </c>
      <c r="P413" s="48">
        <v>475</v>
      </c>
      <c r="Q413" s="48">
        <v>92</v>
      </c>
      <c r="R413" s="51">
        <v>2</v>
      </c>
      <c r="S413" s="48">
        <v>28</v>
      </c>
      <c r="T413" s="51">
        <v>2.8</v>
      </c>
      <c r="U413" s="47" t="s">
        <v>1248</v>
      </c>
      <c r="V413" s="47" t="s">
        <v>1249</v>
      </c>
      <c r="W413" s="46">
        <v>-180</v>
      </c>
      <c r="X413" s="46">
        <v>362383</v>
      </c>
      <c r="Y413" s="57">
        <v>-9.3735439991393665E-4</v>
      </c>
      <c r="Z413" s="46">
        <v>14966600</v>
      </c>
      <c r="AA413" s="49">
        <v>366093</v>
      </c>
      <c r="AB413" s="55">
        <v>189.98113791304397</v>
      </c>
      <c r="AC413" s="57">
        <v>-1.5567390413762094E-4</v>
      </c>
      <c r="AD413" s="50">
        <v>16767</v>
      </c>
      <c r="AE413" s="58">
        <v>1.9720329867336517E-3</v>
      </c>
      <c r="AF413" s="49">
        <v>187470000</v>
      </c>
      <c r="AG413" s="57">
        <v>1.0837916531866609E-2</v>
      </c>
      <c r="AH413" s="49">
        <v>17550000</v>
      </c>
      <c r="AI413" s="59">
        <v>7.4048562080248903E-3</v>
      </c>
      <c r="AJ413" s="46">
        <v>1500917</v>
      </c>
      <c r="AK413" s="57">
        <v>4.4988740017060103E-4</v>
      </c>
    </row>
    <row r="414" spans="1:37" ht="22.5" x14ac:dyDescent="0.55000000000000004">
      <c r="A414" s="46" t="s">
        <v>1250</v>
      </c>
      <c r="B414" s="53">
        <v>0.67708333333333337</v>
      </c>
      <c r="C414" s="46">
        <v>1492095.3</v>
      </c>
      <c r="D414" s="57">
        <v>-5.8775401970928565E-3</v>
      </c>
      <c r="E414" s="46">
        <v>442398.7</v>
      </c>
      <c r="F414" s="57">
        <v>-2.0455644686211416E-3</v>
      </c>
      <c r="G414" s="56">
        <v>55218186</v>
      </c>
      <c r="H414" s="56">
        <v>48174.7</v>
      </c>
      <c r="I414" s="52">
        <v>48.174699999999994</v>
      </c>
      <c r="J414" s="52">
        <v>50.346724111111115</v>
      </c>
      <c r="K414" s="54">
        <v>10371920.800000001</v>
      </c>
      <c r="L414" s="54">
        <v>3627064.9</v>
      </c>
      <c r="M414" s="54">
        <v>79886.100000000006</v>
      </c>
      <c r="N414" s="48">
        <v>4974</v>
      </c>
      <c r="O414" s="48">
        <v>286</v>
      </c>
      <c r="P414" s="48">
        <v>420</v>
      </c>
      <c r="Q414" s="48">
        <v>90</v>
      </c>
      <c r="R414" s="51">
        <v>2.8</v>
      </c>
      <c r="S414" s="48">
        <v>18</v>
      </c>
      <c r="T414" s="51">
        <v>2.09</v>
      </c>
      <c r="U414" s="47" t="s">
        <v>1251</v>
      </c>
      <c r="V414" s="47" t="s">
        <v>1252</v>
      </c>
      <c r="W414" s="46">
        <v>-135</v>
      </c>
      <c r="X414" s="46">
        <v>361663</v>
      </c>
      <c r="Y414" s="57">
        <v>-1.9868481689262474E-3</v>
      </c>
      <c r="Z414" s="46">
        <v>21540700</v>
      </c>
      <c r="AA414" s="49">
        <v>366073</v>
      </c>
      <c r="AB414" s="55">
        <v>189.08024273847019</v>
      </c>
      <c r="AC414" s="57">
        <v>-5.4630927114107664E-5</v>
      </c>
      <c r="AD414" s="50">
        <v>16834</v>
      </c>
      <c r="AE414" s="58">
        <v>3.9959444146240308E-3</v>
      </c>
      <c r="AF414" s="49">
        <v>186510000</v>
      </c>
      <c r="AG414" s="57">
        <v>-5.120819331092985E-3</v>
      </c>
      <c r="AH414" s="49">
        <v>17200000</v>
      </c>
      <c r="AI414" s="59">
        <v>-1.9943019943019946E-2</v>
      </c>
      <c r="AJ414" s="46">
        <v>1492095.3</v>
      </c>
      <c r="AK414" s="57">
        <v>-5.8775401970928565E-3</v>
      </c>
    </row>
    <row r="415" spans="1:37" ht="22.5" x14ac:dyDescent="0.55000000000000004">
      <c r="A415" s="46" t="s">
        <v>1253</v>
      </c>
      <c r="B415" s="53">
        <v>0.61458333333333337</v>
      </c>
      <c r="C415" s="46">
        <v>1496199.73</v>
      </c>
      <c r="D415" s="57">
        <v>2.7507827415580444E-3</v>
      </c>
      <c r="E415" s="46">
        <v>445720.89</v>
      </c>
      <c r="F415" s="57">
        <v>7.5094931336823212E-3</v>
      </c>
      <c r="G415" s="56">
        <v>55379194.196999997</v>
      </c>
      <c r="H415" s="56">
        <v>41710.828000000001</v>
      </c>
      <c r="I415" s="52">
        <v>41.710827999999999</v>
      </c>
      <c r="J415" s="52">
        <v>50.490773000000004</v>
      </c>
      <c r="K415" s="54">
        <v>10432024.885</v>
      </c>
      <c r="L415" s="54">
        <v>3651768.5</v>
      </c>
      <c r="M415" s="54">
        <v>32308.311000000002</v>
      </c>
      <c r="N415" s="48">
        <v>4438</v>
      </c>
      <c r="O415" s="48">
        <v>449</v>
      </c>
      <c r="P415" s="48">
        <v>243</v>
      </c>
      <c r="Q415" s="48">
        <v>121</v>
      </c>
      <c r="R415" s="51">
        <v>3.2</v>
      </c>
      <c r="S415" s="48">
        <v>13</v>
      </c>
      <c r="T415" s="51">
        <v>2.4</v>
      </c>
      <c r="U415" s="47" t="s">
        <v>1254</v>
      </c>
      <c r="V415" s="47" t="s">
        <v>1255</v>
      </c>
      <c r="W415" s="46">
        <v>-40</v>
      </c>
      <c r="X415" s="46">
        <v>362566</v>
      </c>
      <c r="Y415" s="57">
        <v>2.4967995067231019E-3</v>
      </c>
      <c r="Z415" s="46">
        <v>16129400</v>
      </c>
      <c r="AA415" s="49">
        <v>364905</v>
      </c>
      <c r="AB415" s="55">
        <v>190.35910053849634</v>
      </c>
      <c r="AC415" s="57">
        <v>-3.190620450019499E-3</v>
      </c>
      <c r="AD415" s="50">
        <v>16877</v>
      </c>
      <c r="AE415" s="58">
        <v>2.554354282998661E-3</v>
      </c>
      <c r="AF415" s="49">
        <v>186990000</v>
      </c>
      <c r="AG415" s="57">
        <v>2.5735885475308695E-3</v>
      </c>
      <c r="AH415" s="49">
        <v>17680000</v>
      </c>
      <c r="AI415" s="59">
        <v>2.7906976744185963E-2</v>
      </c>
      <c r="AJ415" s="46">
        <v>1496199.73</v>
      </c>
      <c r="AK415" s="57">
        <v>2.7507827415580444E-3</v>
      </c>
    </row>
    <row r="416" spans="1:37" ht="22.5" x14ac:dyDescent="0.55000000000000004">
      <c r="A416" s="46" t="s">
        <v>1256</v>
      </c>
      <c r="B416" s="53">
        <v>0.65625</v>
      </c>
      <c r="C416" s="46">
        <v>1538003.22</v>
      </c>
      <c r="D416" s="57">
        <v>2.7939779136305631E-2</v>
      </c>
      <c r="E416" s="46">
        <v>456274.37</v>
      </c>
      <c r="F416" s="57">
        <v>2.3677328652915497E-2</v>
      </c>
      <c r="G416" s="56">
        <v>56918332.460000001</v>
      </c>
      <c r="H416" s="56">
        <v>68026.217000000004</v>
      </c>
      <c r="I416" s="52">
        <v>68.026217000000003</v>
      </c>
      <c r="J416" s="52">
        <v>53.882648666666668</v>
      </c>
      <c r="K416" s="54">
        <v>10629611.619000001</v>
      </c>
      <c r="L416" s="54">
        <v>3686946.0249999999</v>
      </c>
      <c r="M416" s="54">
        <v>41746.247000000003</v>
      </c>
      <c r="N416" s="48">
        <v>7340</v>
      </c>
      <c r="O416" s="48">
        <v>588</v>
      </c>
      <c r="P416" s="48">
        <v>116</v>
      </c>
      <c r="Q416" s="48">
        <v>204</v>
      </c>
      <c r="R416" s="51">
        <v>5.3</v>
      </c>
      <c r="S416" s="48">
        <v>8</v>
      </c>
      <c r="T416" s="51">
        <v>1.8</v>
      </c>
      <c r="U416" s="47" t="s">
        <v>1257</v>
      </c>
      <c r="V416" s="47" t="s">
        <v>1258</v>
      </c>
      <c r="W416" s="46">
        <v>470</v>
      </c>
      <c r="X416" s="46">
        <v>362260</v>
      </c>
      <c r="Y416" s="57">
        <v>-8.4398426769194401E-4</v>
      </c>
      <c r="Z416" s="46">
        <v>22611500</v>
      </c>
      <c r="AA416" s="49">
        <v>365961</v>
      </c>
      <c r="AB416" s="55">
        <v>194.65158884143392</v>
      </c>
      <c r="AC416" s="57">
        <v>2.8939038927939809E-3</v>
      </c>
      <c r="AD416" s="50">
        <v>16840</v>
      </c>
      <c r="AE416" s="58">
        <v>-2.1923327605617438E-3</v>
      </c>
      <c r="AF416" s="49">
        <v>200000000</v>
      </c>
      <c r="AG416" s="57">
        <v>6.9575913150435875E-2</v>
      </c>
      <c r="AH416" s="49">
        <v>18225000</v>
      </c>
      <c r="AI416" s="59">
        <v>3.082579185520351E-2</v>
      </c>
      <c r="AJ416" s="46">
        <v>1538003.22</v>
      </c>
      <c r="AK416" s="57">
        <v>2.7939779136305631E-2</v>
      </c>
    </row>
    <row r="417" spans="1:37" ht="22.5" x14ac:dyDescent="0.55000000000000004">
      <c r="A417" s="46" t="s">
        <v>1259</v>
      </c>
      <c r="B417" s="53">
        <v>0.64583333333333337</v>
      </c>
      <c r="C417" s="46">
        <v>1563566.83</v>
      </c>
      <c r="D417" s="57">
        <v>1.6621298101053394E-2</v>
      </c>
      <c r="E417" s="46">
        <v>462753.34</v>
      </c>
      <c r="F417" s="57">
        <v>1.4199723732016833E-2</v>
      </c>
      <c r="G417" s="56">
        <v>57861130.123999998</v>
      </c>
      <c r="H417" s="56">
        <v>70510.482000000004</v>
      </c>
      <c r="I417" s="52">
        <v>70.51048200000001</v>
      </c>
      <c r="J417" s="52">
        <v>56.913203000000003</v>
      </c>
      <c r="K417" s="54">
        <v>10754574.620999999</v>
      </c>
      <c r="L417" s="54">
        <v>3705041.28</v>
      </c>
      <c r="M417" s="54">
        <v>35924.993000000002</v>
      </c>
      <c r="N417" s="48">
        <v>7400</v>
      </c>
      <c r="O417" s="48">
        <v>500</v>
      </c>
      <c r="P417" s="48">
        <v>213</v>
      </c>
      <c r="Q417" s="48">
        <v>144</v>
      </c>
      <c r="R417" s="51">
        <v>5.3</v>
      </c>
      <c r="S417" s="48">
        <v>15</v>
      </c>
      <c r="T417" s="51">
        <v>2.1</v>
      </c>
      <c r="U417" s="47" t="s">
        <v>1260</v>
      </c>
      <c r="V417" s="47" t="s">
        <v>1261</v>
      </c>
      <c r="W417" s="46">
        <v>210</v>
      </c>
      <c r="X417" s="46">
        <v>363294</v>
      </c>
      <c r="Y417" s="57">
        <v>2.8543035388948201E-3</v>
      </c>
      <c r="Z417" s="46">
        <v>24747500</v>
      </c>
      <c r="AA417" s="49">
        <v>365964</v>
      </c>
      <c r="AB417" s="55">
        <v>197.61710448295457</v>
      </c>
      <c r="AC417" s="57">
        <v>8.1975948256207687E-6</v>
      </c>
      <c r="AD417" s="50">
        <v>16833</v>
      </c>
      <c r="AE417" s="58">
        <v>-4.1567695961997053E-4</v>
      </c>
      <c r="AF417" s="49">
        <v>204990000</v>
      </c>
      <c r="AG417" s="57">
        <v>2.4950000000000028E-2</v>
      </c>
      <c r="AH417" s="49">
        <v>18444000</v>
      </c>
      <c r="AI417" s="59">
        <v>1.2016460905349691E-2</v>
      </c>
      <c r="AJ417" s="46">
        <v>1563566.83</v>
      </c>
      <c r="AK417" s="57">
        <v>1.6621298101053394E-2</v>
      </c>
    </row>
    <row r="418" spans="1:37" ht="22.5" x14ac:dyDescent="0.55000000000000004">
      <c r="A418" s="46" t="s">
        <v>1196</v>
      </c>
      <c r="B418" s="53">
        <v>0.65625</v>
      </c>
      <c r="C418" s="46">
        <v>1576396.7</v>
      </c>
      <c r="D418" s="57">
        <v>8.2055143111470219E-3</v>
      </c>
      <c r="E418" s="46">
        <v>467054.67</v>
      </c>
      <c r="F418" s="57">
        <v>9.2950814790444536E-3</v>
      </c>
      <c r="G418" s="56">
        <v>58337701.784000002</v>
      </c>
      <c r="H418" s="56">
        <v>59267.822999999997</v>
      </c>
      <c r="I418" s="52">
        <v>59.267823</v>
      </c>
      <c r="J418" s="52">
        <v>55.84373155555555</v>
      </c>
      <c r="K418" s="54">
        <v>10788123.872</v>
      </c>
      <c r="L418" s="54">
        <v>3734895.588</v>
      </c>
      <c r="M418" s="54">
        <v>2022479.892</v>
      </c>
      <c r="N418" s="48">
        <v>7150</v>
      </c>
      <c r="O418" s="48">
        <v>452</v>
      </c>
      <c r="P418" s="48">
        <v>332</v>
      </c>
      <c r="Q418" s="48">
        <v>155</v>
      </c>
      <c r="R418" s="51">
        <v>5.4</v>
      </c>
      <c r="S418" s="48">
        <v>11</v>
      </c>
      <c r="T418" s="51">
        <v>1.8</v>
      </c>
      <c r="U418" s="47" t="s">
        <v>1262</v>
      </c>
      <c r="V418" s="47" t="s">
        <v>1263</v>
      </c>
      <c r="W418" s="46">
        <v>220</v>
      </c>
      <c r="X418" s="46">
        <v>365620</v>
      </c>
      <c r="Y418" s="57">
        <v>6.40252798009322E-3</v>
      </c>
      <c r="Z418" s="46">
        <v>27631300</v>
      </c>
      <c r="AA418" s="49">
        <v>367905</v>
      </c>
      <c r="AB418" s="55">
        <v>198.04221536537966</v>
      </c>
      <c r="AC418" s="57">
        <v>5.3038003738072881E-3</v>
      </c>
      <c r="AD418" s="50">
        <v>16867</v>
      </c>
      <c r="AE418" s="58">
        <v>2.019841977068948E-3</v>
      </c>
      <c r="AF418" s="49">
        <v>205540000</v>
      </c>
      <c r="AG418" s="57">
        <v>2.6830577101322195E-3</v>
      </c>
      <c r="AH418" s="49">
        <v>18811000</v>
      </c>
      <c r="AI418" s="59">
        <v>1.9898069833008014E-2</v>
      </c>
      <c r="AJ418" s="46">
        <v>1576396.7</v>
      </c>
      <c r="AK418" s="57">
        <v>8.2055143111470219E-3</v>
      </c>
    </row>
    <row r="419" spans="1:37" ht="22.5" x14ac:dyDescent="0.55000000000000004">
      <c r="A419" s="46" t="s">
        <v>1202</v>
      </c>
      <c r="B419" s="53">
        <v>0.64583333333333337</v>
      </c>
      <c r="C419" s="46">
        <v>1647314.51</v>
      </c>
      <c r="D419" s="57">
        <v>4.4987286512335523E-2</v>
      </c>
      <c r="E419" s="46">
        <v>480681.67</v>
      </c>
      <c r="F419" s="57">
        <v>2.9176455938231038E-2</v>
      </c>
      <c r="G419" s="56">
        <v>60962727.899999999</v>
      </c>
      <c r="H419" s="56">
        <v>102148.7</v>
      </c>
      <c r="I419" s="52">
        <v>102.14869999999999</v>
      </c>
      <c r="J419" s="52">
        <v>60.449458666666665</v>
      </c>
      <c r="K419" s="54">
        <v>11107570.49</v>
      </c>
      <c r="L419" s="54">
        <v>3783169.78</v>
      </c>
      <c r="M419" s="54">
        <v>65074</v>
      </c>
      <c r="N419" s="48">
        <v>11510</v>
      </c>
      <c r="O419" s="48">
        <v>614</v>
      </c>
      <c r="P419" s="48">
        <v>109</v>
      </c>
      <c r="Q419" s="48">
        <v>224</v>
      </c>
      <c r="R419" s="51">
        <v>7.4</v>
      </c>
      <c r="S419" s="48">
        <v>5</v>
      </c>
      <c r="T419" s="51">
        <v>1.38</v>
      </c>
      <c r="U419" s="47" t="s">
        <v>1264</v>
      </c>
      <c r="V419" s="47" t="s">
        <v>1265</v>
      </c>
      <c r="W419" s="46">
        <v>1100</v>
      </c>
      <c r="X419" s="46">
        <v>370000</v>
      </c>
      <c r="Y419" s="57">
        <v>1.1979651003774405E-2</v>
      </c>
      <c r="Z419" s="46" t="s">
        <v>1266</v>
      </c>
      <c r="AA419" s="49">
        <v>370670</v>
      </c>
      <c r="AB419" s="55">
        <v>204.63881126069012</v>
      </c>
      <c r="AC419" s="57">
        <v>7.515527106182196E-3</v>
      </c>
      <c r="AD419" s="50">
        <v>16678</v>
      </c>
      <c r="AE419" s="58">
        <v>-1.1205312147981261E-2</v>
      </c>
      <c r="AF419" s="49">
        <v>214020000</v>
      </c>
      <c r="AG419" s="57">
        <v>4.125717621874081E-2</v>
      </c>
      <c r="AH419" s="49">
        <v>19372000</v>
      </c>
      <c r="AI419" s="59">
        <v>2.9822975918345707E-2</v>
      </c>
      <c r="AJ419" s="46">
        <v>1647314.51</v>
      </c>
      <c r="AK419" s="57">
        <v>4.4987286512335523E-2</v>
      </c>
    </row>
    <row r="420" spans="1:37" ht="22.5" x14ac:dyDescent="0.55000000000000004">
      <c r="A420" s="46" t="s">
        <v>1267</v>
      </c>
      <c r="B420" s="53">
        <v>0.64583333333333337</v>
      </c>
      <c r="C420" s="46">
        <v>1590495.5</v>
      </c>
      <c r="D420" s="57">
        <v>-3.4491901610215314E-2</v>
      </c>
      <c r="E420" s="46">
        <v>469007.06</v>
      </c>
      <c r="F420" s="57">
        <v>-2.4287612215377341E-2</v>
      </c>
      <c r="G420" s="56">
        <v>58859216.725000001</v>
      </c>
      <c r="H420" s="56">
        <v>81118.315000000002</v>
      </c>
      <c r="I420" s="52">
        <v>81.118314999999996</v>
      </c>
      <c r="J420" s="52">
        <v>64.971615999999983</v>
      </c>
      <c r="K420" s="54">
        <v>10949075.582</v>
      </c>
      <c r="L420" s="54">
        <v>3791763.443</v>
      </c>
      <c r="M420" s="54">
        <v>60265.118000000002</v>
      </c>
      <c r="N420" s="48">
        <v>10020</v>
      </c>
      <c r="O420" s="48">
        <v>197</v>
      </c>
      <c r="P420" s="48">
        <v>511</v>
      </c>
      <c r="Q420" s="48">
        <v>85</v>
      </c>
      <c r="R420" s="51">
        <v>2.12</v>
      </c>
      <c r="S420" s="48">
        <v>118</v>
      </c>
      <c r="T420" s="51">
        <v>3.5</v>
      </c>
      <c r="U420" s="47" t="s">
        <v>1268</v>
      </c>
      <c r="V420" s="47" t="s">
        <v>1269</v>
      </c>
      <c r="W420" s="46">
        <v>-940</v>
      </c>
      <c r="X420" s="46">
        <v>371160</v>
      </c>
      <c r="Y420" s="57">
        <v>3.1351351351351919E-3</v>
      </c>
      <c r="Z420" s="46" t="s">
        <v>1266</v>
      </c>
      <c r="AA420" s="49">
        <v>373700</v>
      </c>
      <c r="AB420" s="55">
        <v>196.94957385603425</v>
      </c>
      <c r="AC420" s="57">
        <v>8.1743869209809361E-3</v>
      </c>
      <c r="AD420" s="50">
        <v>16574</v>
      </c>
      <c r="AE420" s="58">
        <v>-6.2357596834152762E-3</v>
      </c>
      <c r="AF420" s="49">
        <v>196980000</v>
      </c>
      <c r="AG420" s="57">
        <v>-7.9618727221755003E-2</v>
      </c>
      <c r="AH420" s="49">
        <v>18047000</v>
      </c>
      <c r="AI420" s="59">
        <v>-6.839768738385299E-2</v>
      </c>
      <c r="AJ420" s="46">
        <v>1590495.5</v>
      </c>
      <c r="AK420" s="57">
        <v>-3.4491901610215314E-2</v>
      </c>
    </row>
    <row r="421" spans="1:37" ht="22.5" x14ac:dyDescent="0.55000000000000004">
      <c r="A421" s="46" t="s">
        <v>1270</v>
      </c>
      <c r="B421" s="53">
        <v>0.64583333333333337</v>
      </c>
      <c r="C421" s="46">
        <v>1564375.59</v>
      </c>
      <c r="D421" s="57">
        <v>-1.6422498523258944E-2</v>
      </c>
      <c r="E421" s="46">
        <v>464375.33</v>
      </c>
      <c r="F421" s="57">
        <v>-9.8756082690950597E-3</v>
      </c>
      <c r="G421" s="56">
        <v>57895108.956</v>
      </c>
      <c r="H421" s="56">
        <v>113126.31299999999</v>
      </c>
      <c r="I421" s="52">
        <v>113.126313</v>
      </c>
      <c r="J421" s="52">
        <v>71.083411444444437</v>
      </c>
      <c r="K421" s="54">
        <v>10893950.639</v>
      </c>
      <c r="L421" s="54">
        <v>3799719.7859999998</v>
      </c>
      <c r="M421" s="54">
        <v>113174.93399999999</v>
      </c>
      <c r="N421" s="48">
        <v>8180</v>
      </c>
      <c r="O421" s="48">
        <v>215</v>
      </c>
      <c r="P421" s="48">
        <v>435</v>
      </c>
      <c r="Q421" s="48"/>
      <c r="R421" s="51"/>
      <c r="S421" s="48"/>
      <c r="T421" s="51"/>
      <c r="U421" s="47"/>
      <c r="V421" s="47"/>
      <c r="W421" s="46">
        <v>-840</v>
      </c>
      <c r="X421" s="46">
        <v>371160</v>
      </c>
      <c r="Y421" s="57">
        <v>0</v>
      </c>
      <c r="Z421" s="46" t="s">
        <v>1266</v>
      </c>
      <c r="AA421" s="49">
        <v>368801</v>
      </c>
      <c r="AB421" s="55">
        <v>196.82370541565777</v>
      </c>
      <c r="AC421" s="57">
        <v>-1.310944607974307E-2</v>
      </c>
      <c r="AD421" s="50">
        <v>16620</v>
      </c>
      <c r="AE421" s="58">
        <v>2.7754313985761669E-3</v>
      </c>
      <c r="AF421" s="49">
        <v>200000000</v>
      </c>
      <c r="AG421" s="57">
        <v>1.5331505736623008E-2</v>
      </c>
      <c r="AH421" s="49">
        <v>18460000</v>
      </c>
      <c r="AI421" s="59">
        <v>2.2884689976173433E-2</v>
      </c>
      <c r="AJ421" s="46">
        <v>1564375.59</v>
      </c>
      <c r="AK421" s="57">
        <v>-1.6422498523258944E-2</v>
      </c>
    </row>
    <row r="422" spans="1:37" ht="22.5" x14ac:dyDescent="0.55000000000000004">
      <c r="A422" s="46" t="s">
        <v>1271</v>
      </c>
      <c r="B422" s="53">
        <v>0.66666666666666663</v>
      </c>
      <c r="C422" s="46">
        <v>1593275.84</v>
      </c>
      <c r="D422" s="57">
        <v>1.8473984243131847E-2</v>
      </c>
      <c r="E422" s="46">
        <v>473136.63</v>
      </c>
      <c r="F422" s="57">
        <v>1.8866850657204282E-2</v>
      </c>
      <c r="G422" s="56">
        <v>58962685.368000001</v>
      </c>
      <c r="H422" s="56">
        <v>67618.327999999994</v>
      </c>
      <c r="I422" s="52">
        <v>67.618327999999991</v>
      </c>
      <c r="J422" s="52">
        <v>72.411300666666676</v>
      </c>
      <c r="K422" s="54">
        <v>11062566.470000001</v>
      </c>
      <c r="L422" s="54">
        <v>3832770.1609999998</v>
      </c>
      <c r="M422" s="54">
        <v>2107955.554</v>
      </c>
      <c r="N422" s="48">
        <v>7830</v>
      </c>
      <c r="O422" s="48">
        <v>585</v>
      </c>
      <c r="P422" s="48">
        <v>191</v>
      </c>
      <c r="Q422" s="48">
        <v>181</v>
      </c>
      <c r="R422" s="51">
        <v>7.1</v>
      </c>
      <c r="S422" s="48">
        <v>9</v>
      </c>
      <c r="T422" s="51">
        <v>1.83</v>
      </c>
      <c r="U422" s="47" t="s">
        <v>1272</v>
      </c>
      <c r="V422" s="47" t="s">
        <v>1273</v>
      </c>
      <c r="W422" s="46">
        <v>550</v>
      </c>
      <c r="X422" s="46">
        <v>369586</v>
      </c>
      <c r="Y422" s="57">
        <v>-4.2407587024463345E-3</v>
      </c>
      <c r="Z422" s="46" t="s">
        <v>1266</v>
      </c>
      <c r="AA422" s="49">
        <v>373700</v>
      </c>
      <c r="AB422" s="55">
        <v>197.63987690393364</v>
      </c>
      <c r="AC422" s="57">
        <v>1.328358654125128E-2</v>
      </c>
      <c r="AD422" s="50">
        <v>16738</v>
      </c>
      <c r="AE422" s="58">
        <v>7.0998796630565852E-3</v>
      </c>
      <c r="AF422" s="49">
        <v>204020000</v>
      </c>
      <c r="AG422" s="57">
        <v>2.0100000000000007E-2</v>
      </c>
      <c r="AH422" s="49">
        <v>18506000</v>
      </c>
      <c r="AI422" s="59">
        <v>2.4918743228601326E-3</v>
      </c>
      <c r="AJ422" s="46">
        <v>1593275.84</v>
      </c>
      <c r="AK422" s="57">
        <v>1.8473984243131847E-2</v>
      </c>
    </row>
    <row r="423" spans="1:37" ht="22.5" x14ac:dyDescent="0.55000000000000004">
      <c r="A423" s="46" t="s">
        <v>1274</v>
      </c>
      <c r="B423" s="53">
        <v>0.65625</v>
      </c>
      <c r="C423" s="46">
        <v>1591373.88</v>
      </c>
      <c r="D423" s="57">
        <v>-1.1937418193701532E-3</v>
      </c>
      <c r="E423" s="46">
        <v>475417.32</v>
      </c>
      <c r="F423" s="57">
        <v>4.8203623549500918E-3</v>
      </c>
      <c r="G423" s="56">
        <v>58894482.641000003</v>
      </c>
      <c r="H423" s="56">
        <v>89855.808000000005</v>
      </c>
      <c r="I423" s="52">
        <v>89.85580800000001</v>
      </c>
      <c r="J423" s="52">
        <v>77.042534888888895</v>
      </c>
      <c r="K423" s="54">
        <v>11080093.857999999</v>
      </c>
      <c r="L423" s="54">
        <v>3851151.915</v>
      </c>
      <c r="M423" s="54">
        <v>55369.069000000003</v>
      </c>
      <c r="N423" s="48">
        <v>9830</v>
      </c>
      <c r="O423" s="48">
        <v>278</v>
      </c>
      <c r="P423" s="48">
        <v>410</v>
      </c>
      <c r="Q423" s="48">
        <v>103</v>
      </c>
      <c r="R423" s="51">
        <v>3.54</v>
      </c>
      <c r="S423" s="48">
        <v>31</v>
      </c>
      <c r="T423" s="51">
        <v>5.15</v>
      </c>
      <c r="U423" s="47" t="s">
        <v>1275</v>
      </c>
      <c r="V423" s="47" t="s">
        <v>1276</v>
      </c>
      <c r="W423" s="46">
        <v>-330</v>
      </c>
      <c r="X423" s="46">
        <v>370130</v>
      </c>
      <c r="Y423" s="57">
        <v>1.4719172263017999E-3</v>
      </c>
      <c r="Z423" s="46" t="s">
        <v>1266</v>
      </c>
      <c r="AA423" s="49">
        <v>369512</v>
      </c>
      <c r="AB423" s="55">
        <v>199.79250582931002</v>
      </c>
      <c r="AC423" s="57">
        <v>-1.1206850414771208E-2</v>
      </c>
      <c r="AD423" s="50">
        <v>16747</v>
      </c>
      <c r="AE423" s="58">
        <v>5.3769864977892823E-4</v>
      </c>
      <c r="AF423" s="49">
        <v>193550000</v>
      </c>
      <c r="AG423" s="57">
        <v>-5.1318498186452288E-2</v>
      </c>
      <c r="AH423" s="49">
        <v>17924000</v>
      </c>
      <c r="AI423" s="59">
        <v>-3.144925969955692E-2</v>
      </c>
      <c r="AJ423" s="46">
        <v>1591373.88</v>
      </c>
      <c r="AK423" s="57">
        <v>-1.1937418193701532E-3</v>
      </c>
    </row>
    <row r="424" spans="1:37" ht="22.5" x14ac:dyDescent="0.55000000000000004">
      <c r="A424" s="46" t="s">
        <v>1277</v>
      </c>
      <c r="B424" s="53">
        <v>0.60416666666666663</v>
      </c>
      <c r="C424" s="46">
        <v>1579157.59</v>
      </c>
      <c r="D424" s="57">
        <v>-7.6765681236390382E-3</v>
      </c>
      <c r="E424" s="46">
        <v>473199.05</v>
      </c>
      <c r="F424" s="57">
        <v>-4.6659427553039645E-3</v>
      </c>
      <c r="G424" s="56">
        <v>58295563.663999997</v>
      </c>
      <c r="H424" s="56">
        <v>68961.531000000003</v>
      </c>
      <c r="I424" s="52">
        <v>68.961531000000008</v>
      </c>
      <c r="J424" s="52">
        <v>80.070390777777774</v>
      </c>
      <c r="K424" s="54">
        <v>10991613.290999999</v>
      </c>
      <c r="L424" s="54">
        <v>3846543.6009999998</v>
      </c>
      <c r="M424" s="54">
        <v>48914.057999999997</v>
      </c>
      <c r="N424" s="48">
        <v>6710</v>
      </c>
      <c r="O424" s="48">
        <v>292</v>
      </c>
      <c r="P424" s="48">
        <v>402</v>
      </c>
      <c r="Q424" s="48">
        <v>119</v>
      </c>
      <c r="R424" s="51">
        <v>3.64</v>
      </c>
      <c r="S424" s="48">
        <v>29</v>
      </c>
      <c r="T424" s="51">
        <v>6.38</v>
      </c>
      <c r="U424" s="47" t="s">
        <v>1278</v>
      </c>
      <c r="V424" s="47" t="s">
        <v>1279</v>
      </c>
      <c r="W424" s="46">
        <v>50</v>
      </c>
      <c r="X424" s="46">
        <v>375000</v>
      </c>
      <c r="Y424" s="57">
        <v>1.3157539242968586E-2</v>
      </c>
      <c r="Z424" s="46" t="s">
        <v>1266</v>
      </c>
      <c r="AA424" s="49">
        <v>378750</v>
      </c>
      <c r="AB424" s="55">
        <v>193.09233150099007</v>
      </c>
      <c r="AC424" s="57">
        <v>2.5000541254411202E-2</v>
      </c>
      <c r="AD424" s="50">
        <v>16842</v>
      </c>
      <c r="AE424" s="58">
        <v>5.6726577894548047E-3</v>
      </c>
      <c r="AF424" s="49">
        <v>204180000</v>
      </c>
      <c r="AG424" s="57">
        <v>5.4921208989925141E-2</v>
      </c>
      <c r="AH424" s="49">
        <v>18038000</v>
      </c>
      <c r="AI424" s="59">
        <v>6.3601874581566964E-3</v>
      </c>
      <c r="AJ424" s="46">
        <v>1579157.59</v>
      </c>
      <c r="AK424" s="57">
        <v>-7.6765681236390382E-3</v>
      </c>
    </row>
    <row r="425" spans="1:37" ht="22.5" x14ac:dyDescent="0.55000000000000004">
      <c r="A425" s="46" t="s">
        <v>1280</v>
      </c>
      <c r="B425" s="53">
        <v>0.60416666666666663</v>
      </c>
      <c r="C425" s="46">
        <v>1598060.04</v>
      </c>
      <c r="D425" s="57">
        <f t="shared" ref="D425:D432" si="53">C425/C424-1</f>
        <v>1.1969957982470802E-2</v>
      </c>
      <c r="E425" s="46">
        <v>482124.12</v>
      </c>
      <c r="F425" s="57">
        <f t="shared" ref="F425:F432" si="54">E425/E424-1</f>
        <v>1.886113254031252E-2</v>
      </c>
      <c r="G425" s="56">
        <v>59000378.579000004</v>
      </c>
      <c r="H425" s="56">
        <v>103595.58100000001</v>
      </c>
      <c r="I425" s="52">
        <f t="shared" ref="I425:I432" si="55">H425/1000</f>
        <v>103.59558100000001</v>
      </c>
      <c r="J425" s="52">
        <f t="shared" ref="J425:J432" si="56">AVERAGE(I417:I425)</f>
        <v>84.022542333333334</v>
      </c>
      <c r="K425" s="54">
        <v>11018446.422</v>
      </c>
      <c r="L425" s="54">
        <v>3877246.469</v>
      </c>
      <c r="M425" s="54">
        <v>47717.618000000002</v>
      </c>
      <c r="N425" s="48">
        <v>7926</v>
      </c>
      <c r="O425" s="48">
        <f>336+248</f>
        <v>584</v>
      </c>
      <c r="P425" s="48">
        <f>70+69</f>
        <v>139</v>
      </c>
      <c r="Q425" s="48">
        <v>174</v>
      </c>
      <c r="R425" s="51">
        <v>5.91</v>
      </c>
      <c r="S425" s="48">
        <v>10</v>
      </c>
      <c r="T425" s="51">
        <v>5.03</v>
      </c>
      <c r="U425" s="47" t="s">
        <v>1281</v>
      </c>
      <c r="V425" s="47" t="s">
        <v>1282</v>
      </c>
      <c r="W425" s="46">
        <v>614</v>
      </c>
      <c r="X425" s="46">
        <v>378269</v>
      </c>
      <c r="Y425" s="57">
        <f t="shared" ref="Y425:Y432" si="57">X425/X424-1</f>
        <v>8.7173333333332437E-3</v>
      </c>
      <c r="Z425" s="46" t="s">
        <v>1266</v>
      </c>
      <c r="AA425" s="49">
        <v>382051</v>
      </c>
      <c r="AB425" s="55">
        <f t="shared" ref="AB425:AB432" si="58">(L425+K425+G425)/AA425</f>
        <v>193.41939026465053</v>
      </c>
      <c r="AC425" s="57">
        <f t="shared" ref="AC425:AC432" si="59">(AA425/AA424-1)</f>
        <v>8.7155115511550196E-3</v>
      </c>
      <c r="AD425" s="50">
        <v>16928</v>
      </c>
      <c r="AE425" s="58">
        <f t="shared" ref="AE425:AE432" si="60">(AD425/AD424)-1</f>
        <v>5.1062819142619897E-3</v>
      </c>
      <c r="AF425" s="49">
        <v>208950000</v>
      </c>
      <c r="AG425" s="57">
        <f t="shared" ref="AG425:AG432" si="61">(AF425/AF424)-1</f>
        <v>2.3361739641492907E-2</v>
      </c>
      <c r="AH425" s="49">
        <v>18961000</v>
      </c>
      <c r="AI425" s="59">
        <f t="shared" ref="AI425:AI432" si="62">(AH425/AH424)-1</f>
        <v>5.1169752744206765E-2</v>
      </c>
      <c r="AJ425" s="46">
        <f t="shared" ref="AJ425:AK432" si="63">C425</f>
        <v>1598060.04</v>
      </c>
      <c r="AK425" s="57">
        <f t="shared" si="63"/>
        <v>1.1969957982470802E-2</v>
      </c>
    </row>
    <row r="426" spans="1:37" ht="22.5" x14ac:dyDescent="0.55000000000000004">
      <c r="A426" s="46" t="s">
        <v>1283</v>
      </c>
      <c r="B426" s="53">
        <v>0.5625</v>
      </c>
      <c r="C426" s="46">
        <v>1635226.92</v>
      </c>
      <c r="D426" s="57">
        <f t="shared" si="53"/>
        <v>2.325749913626507E-2</v>
      </c>
      <c r="E426" s="46">
        <v>492439.02</v>
      </c>
      <c r="F426" s="57">
        <f t="shared" si="54"/>
        <v>2.1394698112179089E-2</v>
      </c>
      <c r="G426" s="56">
        <v>60376871</v>
      </c>
      <c r="H426" s="56">
        <v>95004</v>
      </c>
      <c r="I426" s="52">
        <f t="shared" si="55"/>
        <v>95.004000000000005</v>
      </c>
      <c r="J426" s="52">
        <f t="shared" si="56"/>
        <v>86.744044333333335</v>
      </c>
      <c r="K426" s="54">
        <v>11285965</v>
      </c>
      <c r="L426" s="54">
        <v>3930652</v>
      </c>
      <c r="M426" s="54">
        <v>51863</v>
      </c>
      <c r="N426" s="48">
        <v>10380</v>
      </c>
      <c r="O426" s="48">
        <v>590</v>
      </c>
      <c r="P426" s="48">
        <v>122</v>
      </c>
      <c r="Q426" s="48">
        <v>196</v>
      </c>
      <c r="R426" s="51">
        <v>8.8000000000000007</v>
      </c>
      <c r="S426" s="48">
        <v>12</v>
      </c>
      <c r="T426" s="51">
        <v>4.5</v>
      </c>
      <c r="U426" s="47" t="s">
        <v>1284</v>
      </c>
      <c r="V426" s="47" t="s">
        <v>1285</v>
      </c>
      <c r="W426" s="46">
        <v>560</v>
      </c>
      <c r="X426" s="46">
        <v>394636</v>
      </c>
      <c r="Y426" s="57">
        <f t="shared" si="57"/>
        <v>4.3268150443203091E-2</v>
      </c>
      <c r="Z426" s="46" t="s">
        <v>1266</v>
      </c>
      <c r="AA426" s="49">
        <v>393900</v>
      </c>
      <c r="AB426" s="55">
        <f t="shared" si="58"/>
        <v>191.91035288144198</v>
      </c>
      <c r="AC426" s="57">
        <f t="shared" si="59"/>
        <v>3.1014183970202946E-2</v>
      </c>
      <c r="AD426" s="50">
        <v>16958</v>
      </c>
      <c r="AE426" s="58">
        <f t="shared" si="60"/>
        <v>1.7722117202267906E-3</v>
      </c>
      <c r="AF426" s="49">
        <v>218460000</v>
      </c>
      <c r="AG426" s="57">
        <f t="shared" si="61"/>
        <v>4.5513280689160052E-2</v>
      </c>
      <c r="AH426" s="49">
        <v>18829000</v>
      </c>
      <c r="AI426" s="59">
        <f t="shared" si="62"/>
        <v>-6.9616581403934008E-3</v>
      </c>
      <c r="AJ426" s="46">
        <f t="shared" si="63"/>
        <v>1635226.92</v>
      </c>
      <c r="AK426" s="57">
        <f t="shared" si="63"/>
        <v>2.325749913626507E-2</v>
      </c>
    </row>
    <row r="427" spans="1:37" ht="22.5" x14ac:dyDescent="0.55000000000000004">
      <c r="A427" s="46" t="s">
        <v>1286</v>
      </c>
      <c r="B427" s="53">
        <v>0.65625</v>
      </c>
      <c r="C427" s="46">
        <v>1646907.22</v>
      </c>
      <c r="D427" s="57">
        <f t="shared" si="53"/>
        <v>7.1429230140120925E-3</v>
      </c>
      <c r="E427" s="46">
        <v>496401.23</v>
      </c>
      <c r="F427" s="57">
        <f t="shared" si="54"/>
        <v>8.0460926918421993E-3</v>
      </c>
      <c r="G427" s="56">
        <v>60801591.560000002</v>
      </c>
      <c r="H427" s="56">
        <v>99990.221000000005</v>
      </c>
      <c r="I427" s="52">
        <f t="shared" si="55"/>
        <v>99.990221000000005</v>
      </c>
      <c r="J427" s="52">
        <f t="shared" si="56"/>
        <v>91.268755222222239</v>
      </c>
      <c r="K427" s="54">
        <v>11369182.091</v>
      </c>
      <c r="L427" s="54">
        <v>3966451.8</v>
      </c>
      <c r="M427" s="54">
        <v>2208431.0630000001</v>
      </c>
      <c r="N427" s="48">
        <v>10507</v>
      </c>
      <c r="O427" s="48">
        <f>268+228</f>
        <v>496</v>
      </c>
      <c r="P427" s="48">
        <f>151+129</f>
        <v>280</v>
      </c>
      <c r="Q427" s="48">
        <v>166</v>
      </c>
      <c r="R427" s="51">
        <v>6.95</v>
      </c>
      <c r="S427" s="48">
        <v>12</v>
      </c>
      <c r="T427" s="51">
        <v>3.34</v>
      </c>
      <c r="U427" s="47" t="s">
        <v>1287</v>
      </c>
      <c r="V427" s="47" t="s">
        <v>1288</v>
      </c>
      <c r="W427" s="46">
        <v>245</v>
      </c>
      <c r="X427" s="46">
        <v>392236</v>
      </c>
      <c r="Y427" s="57">
        <f t="shared" si="57"/>
        <v>-6.0815536342351262E-3</v>
      </c>
      <c r="Z427" s="46" t="s">
        <v>1266</v>
      </c>
      <c r="AA427" s="49">
        <v>394636</v>
      </c>
      <c r="AB427" s="55">
        <f t="shared" si="58"/>
        <v>192.93025839254403</v>
      </c>
      <c r="AC427" s="57">
        <f t="shared" si="59"/>
        <v>1.8684945417619669E-3</v>
      </c>
      <c r="AD427" s="50">
        <v>17255</v>
      </c>
      <c r="AE427" s="58">
        <f t="shared" si="60"/>
        <v>1.7513857766245922E-2</v>
      </c>
      <c r="AF427" s="49">
        <v>210510000</v>
      </c>
      <c r="AG427" s="57">
        <f t="shared" si="61"/>
        <v>-3.639110134578416E-2</v>
      </c>
      <c r="AH427" s="49">
        <v>18779000</v>
      </c>
      <c r="AI427" s="59">
        <f t="shared" si="62"/>
        <v>-2.6554782516331477E-3</v>
      </c>
      <c r="AJ427" s="46">
        <f t="shared" si="63"/>
        <v>1646907.22</v>
      </c>
      <c r="AK427" s="57">
        <f t="shared" si="63"/>
        <v>7.1429230140120925E-3</v>
      </c>
    </row>
    <row r="428" spans="1:37" ht="22.5" x14ac:dyDescent="0.55000000000000004">
      <c r="A428" s="46" t="s">
        <v>1289</v>
      </c>
      <c r="B428" s="53">
        <v>0.65625</v>
      </c>
      <c r="C428" s="46">
        <v>1668190.23</v>
      </c>
      <c r="D428" s="57">
        <f t="shared" si="53"/>
        <v>1.2923016999099701E-2</v>
      </c>
      <c r="E428" s="46">
        <v>503637.46</v>
      </c>
      <c r="F428" s="57">
        <f t="shared" si="54"/>
        <v>1.4577381284893276E-2</v>
      </c>
      <c r="G428" s="56">
        <v>61584953.369999997</v>
      </c>
      <c r="H428" s="56">
        <v>105519.17</v>
      </c>
      <c r="I428" s="52">
        <f t="shared" si="55"/>
        <v>105.51917</v>
      </c>
      <c r="J428" s="52">
        <f t="shared" si="56"/>
        <v>91.643251888888898</v>
      </c>
      <c r="K428" s="54">
        <v>11495507.91</v>
      </c>
      <c r="L428" s="54">
        <v>4008477.6579999998</v>
      </c>
      <c r="M428" s="54">
        <v>44126.875999999997</v>
      </c>
      <c r="N428" s="48">
        <v>10820</v>
      </c>
      <c r="O428" s="48">
        <f>195+275</f>
        <v>470</v>
      </c>
      <c r="P428" s="48">
        <f>115+136</f>
        <v>251</v>
      </c>
      <c r="Q428" s="48">
        <v>156</v>
      </c>
      <c r="R428" s="51">
        <v>6.11</v>
      </c>
      <c r="S428" s="48">
        <v>16</v>
      </c>
      <c r="T428" s="51">
        <v>3.49</v>
      </c>
      <c r="U428" s="47" t="s">
        <v>1290</v>
      </c>
      <c r="V428" s="47" t="s">
        <v>1291</v>
      </c>
      <c r="W428" s="46">
        <v>145</v>
      </c>
      <c r="X428" s="46">
        <v>389619</v>
      </c>
      <c r="Y428" s="57">
        <f t="shared" si="57"/>
        <v>-6.6720035896755681E-3</v>
      </c>
      <c r="Z428" s="46" t="s">
        <v>1266</v>
      </c>
      <c r="AA428" s="49">
        <v>394305</v>
      </c>
      <c r="AB428" s="55">
        <f t="shared" si="58"/>
        <v>195.50586205602261</v>
      </c>
      <c r="AC428" s="57">
        <f t="shared" si="59"/>
        <v>-8.3874760538826809E-4</v>
      </c>
      <c r="AD428" s="50">
        <v>17259</v>
      </c>
      <c r="AE428" s="58">
        <f t="shared" si="60"/>
        <v>2.3181686467688145E-4</v>
      </c>
      <c r="AF428" s="49">
        <v>210470000</v>
      </c>
      <c r="AG428" s="57">
        <f t="shared" si="61"/>
        <v>-1.9001472614132986E-4</v>
      </c>
      <c r="AH428" s="49">
        <v>18806000</v>
      </c>
      <c r="AI428" s="59">
        <f t="shared" si="62"/>
        <v>1.4377762394164328E-3</v>
      </c>
      <c r="AJ428" s="46">
        <f t="shared" si="63"/>
        <v>1668190.23</v>
      </c>
      <c r="AK428" s="57">
        <f t="shared" si="63"/>
        <v>1.2923016999099701E-2</v>
      </c>
    </row>
    <row r="429" spans="1:37" ht="22.5" x14ac:dyDescent="0.55000000000000004">
      <c r="A429" s="46" t="s">
        <v>1292</v>
      </c>
      <c r="B429" s="53">
        <v>0.64583333333333337</v>
      </c>
      <c r="C429" s="46">
        <v>1652095.85</v>
      </c>
      <c r="D429" s="57">
        <f t="shared" si="53"/>
        <v>-9.6478085715678841E-3</v>
      </c>
      <c r="E429" s="46">
        <v>504205.48</v>
      </c>
      <c r="F429" s="57">
        <f t="shared" si="54"/>
        <v>1.1278350899472933E-3</v>
      </c>
      <c r="G429" s="56">
        <v>60987137.998999998</v>
      </c>
      <c r="H429" s="56">
        <v>101440.538</v>
      </c>
      <c r="I429" s="52">
        <f t="shared" si="55"/>
        <v>101.440538</v>
      </c>
      <c r="J429" s="52">
        <f t="shared" si="56"/>
        <v>93.901276666666689</v>
      </c>
      <c r="K429" s="54">
        <v>11437269.569</v>
      </c>
      <c r="L429" s="54">
        <v>4031700.949</v>
      </c>
      <c r="M429" s="54">
        <v>59921.597999999998</v>
      </c>
      <c r="N429" s="48">
        <v>11078</v>
      </c>
      <c r="O429" s="48">
        <f>140+155</f>
        <v>295</v>
      </c>
      <c r="P429" s="48">
        <f>264+162</f>
        <v>426</v>
      </c>
      <c r="Q429" s="48">
        <v>112</v>
      </c>
      <c r="R429" s="51">
        <v>4.1500000000000004</v>
      </c>
      <c r="S429" s="48">
        <v>40</v>
      </c>
      <c r="T429" s="51">
        <v>2.97</v>
      </c>
      <c r="U429" s="47" t="s">
        <v>1293</v>
      </c>
      <c r="V429" s="47" t="s">
        <v>1294</v>
      </c>
      <c r="W429" s="46">
        <v>-430</v>
      </c>
      <c r="X429" s="46">
        <v>388588</v>
      </c>
      <c r="Y429" s="57">
        <f t="shared" si="57"/>
        <v>-2.6461748528691098E-3</v>
      </c>
      <c r="Z429" s="46" t="s">
        <v>1266</v>
      </c>
      <c r="AA429" s="49">
        <v>394867</v>
      </c>
      <c r="AB429" s="55">
        <f t="shared" si="58"/>
        <v>193.6249636383896</v>
      </c>
      <c r="AC429" s="57">
        <f t="shared" si="59"/>
        <v>1.4252926034414859E-3</v>
      </c>
      <c r="AD429" s="50">
        <v>17446</v>
      </c>
      <c r="AE429" s="58">
        <f t="shared" si="60"/>
        <v>1.0834926704907488E-2</v>
      </c>
      <c r="AF429" s="49">
        <v>211020000</v>
      </c>
      <c r="AG429" s="57">
        <f t="shared" si="61"/>
        <v>2.6131990307407538E-3</v>
      </c>
      <c r="AH429" s="49">
        <v>18966000</v>
      </c>
      <c r="AI429" s="59">
        <f t="shared" si="62"/>
        <v>8.5079230032967246E-3</v>
      </c>
      <c r="AJ429" s="46">
        <f t="shared" si="63"/>
        <v>1652095.85</v>
      </c>
      <c r="AK429" s="57">
        <f t="shared" si="63"/>
        <v>-9.6478085715678841E-3</v>
      </c>
    </row>
    <row r="430" spans="1:37" ht="22.5" x14ac:dyDescent="0.55000000000000004">
      <c r="A430" s="46" t="s">
        <v>1295</v>
      </c>
      <c r="B430" s="53">
        <v>0.64583333333333337</v>
      </c>
      <c r="C430" s="46">
        <v>1643721.11</v>
      </c>
      <c r="D430" s="57">
        <f t="shared" si="53"/>
        <v>-5.0691610901388851E-3</v>
      </c>
      <c r="E430" s="46">
        <v>504905.95</v>
      </c>
      <c r="F430" s="57">
        <f t="shared" si="54"/>
        <v>1.389255031500225E-3</v>
      </c>
      <c r="G430" s="56">
        <v>60683872.579999998</v>
      </c>
      <c r="H430" s="56">
        <v>62711.258999999998</v>
      </c>
      <c r="I430" s="52">
        <f t="shared" si="55"/>
        <v>62.711258999999998</v>
      </c>
      <c r="J430" s="52">
        <f t="shared" si="56"/>
        <v>88.299604000000002</v>
      </c>
      <c r="K430" s="54">
        <v>11390412.263</v>
      </c>
      <c r="L430" s="54">
        <v>4040238.3080000002</v>
      </c>
      <c r="M430" s="54">
        <v>40663.788</v>
      </c>
      <c r="N430" s="48">
        <v>7400</v>
      </c>
      <c r="O430" s="48">
        <f>173+240</f>
        <v>413</v>
      </c>
      <c r="P430" s="48">
        <f>123+140</f>
        <v>263</v>
      </c>
      <c r="Q430" s="48">
        <v>142</v>
      </c>
      <c r="R430" s="51">
        <v>3.4</v>
      </c>
      <c r="S430" s="48">
        <v>21</v>
      </c>
      <c r="T430" s="51">
        <v>2.7</v>
      </c>
      <c r="U430" s="47" t="s">
        <v>1296</v>
      </c>
      <c r="V430" s="47" t="s">
        <v>1297</v>
      </c>
      <c r="W430" s="46">
        <v>-330</v>
      </c>
      <c r="X430" s="46">
        <v>388882</v>
      </c>
      <c r="Y430" s="57">
        <f t="shared" si="57"/>
        <v>7.5658538091749605E-4</v>
      </c>
      <c r="Z430" s="46" t="s">
        <v>1266</v>
      </c>
      <c r="AA430" s="49">
        <v>393219</v>
      </c>
      <c r="AB430" s="55">
        <f t="shared" si="58"/>
        <v>193.56776542079604</v>
      </c>
      <c r="AC430" s="57">
        <f t="shared" si="59"/>
        <v>-4.1735571724149656E-3</v>
      </c>
      <c r="AD430" s="50">
        <v>20663</v>
      </c>
      <c r="AE430" s="58">
        <f t="shared" si="60"/>
        <v>0.1843975696434712</v>
      </c>
      <c r="AF430" s="49">
        <v>211960000</v>
      </c>
      <c r="AG430" s="57">
        <f t="shared" si="61"/>
        <v>4.4545540707041642E-3</v>
      </c>
      <c r="AH430" s="49">
        <v>19153000</v>
      </c>
      <c r="AI430" s="59">
        <f t="shared" si="62"/>
        <v>9.859749024570208E-3</v>
      </c>
      <c r="AJ430" s="46">
        <f t="shared" si="63"/>
        <v>1643721.11</v>
      </c>
      <c r="AK430" s="57">
        <f t="shared" si="63"/>
        <v>-5.0691610901388851E-3</v>
      </c>
    </row>
    <row r="431" spans="1:37" ht="22.5" x14ac:dyDescent="0.55000000000000004">
      <c r="A431" s="46" t="s">
        <v>1298</v>
      </c>
      <c r="B431" s="53">
        <v>0.64583333333333337</v>
      </c>
      <c r="C431" s="46">
        <v>1680684.13</v>
      </c>
      <c r="D431" s="57">
        <f t="shared" si="53"/>
        <v>2.2487403596100242E-2</v>
      </c>
      <c r="E431" s="46">
        <v>520332</v>
      </c>
      <c r="F431" s="57">
        <f t="shared" si="54"/>
        <v>3.0552323655524294E-2</v>
      </c>
      <c r="G431" s="56">
        <v>62046467.229999997</v>
      </c>
      <c r="H431" s="56">
        <v>90670.975000000006</v>
      </c>
      <c r="I431" s="52">
        <f t="shared" si="55"/>
        <v>90.670975000000013</v>
      </c>
      <c r="J431" s="52">
        <f t="shared" si="56"/>
        <v>90.861009222222222</v>
      </c>
      <c r="K431" s="54">
        <v>11623900.657</v>
      </c>
      <c r="L431" s="54">
        <v>4091486.997</v>
      </c>
      <c r="M431" s="54">
        <v>2217173.1310000001</v>
      </c>
      <c r="N431" s="48">
        <v>9985</v>
      </c>
      <c r="O431" s="48">
        <f>272+385</f>
        <v>657</v>
      </c>
      <c r="P431" s="48">
        <f>116+26</f>
        <v>142</v>
      </c>
      <c r="Q431" s="48">
        <v>257</v>
      </c>
      <c r="R431" s="51">
        <v>8.0399999999999991</v>
      </c>
      <c r="S431" s="48">
        <v>12</v>
      </c>
      <c r="T431" s="51">
        <v>2.81</v>
      </c>
      <c r="U431" s="47" t="s">
        <v>1299</v>
      </c>
      <c r="V431" s="47" t="s">
        <v>1300</v>
      </c>
      <c r="W431" s="46">
        <v>983</v>
      </c>
      <c r="X431" s="46">
        <v>388211</v>
      </c>
      <c r="Y431" s="57">
        <f t="shared" si="57"/>
        <v>-1.7254591367047434E-3</v>
      </c>
      <c r="Z431" s="46" t="s">
        <v>1266</v>
      </c>
      <c r="AA431" s="49">
        <v>392281</v>
      </c>
      <c r="AB431" s="55">
        <f t="shared" si="58"/>
        <v>198.22998025395063</v>
      </c>
      <c r="AC431" s="57">
        <f t="shared" si="59"/>
        <v>-2.3854391573143729E-3</v>
      </c>
      <c r="AD431" s="50">
        <v>20836</v>
      </c>
      <c r="AE431" s="58">
        <f t="shared" si="60"/>
        <v>8.3724531771764976E-3</v>
      </c>
      <c r="AF431" s="49">
        <v>213170000</v>
      </c>
      <c r="AG431" s="57">
        <f t="shared" si="61"/>
        <v>5.7086242687298672E-3</v>
      </c>
      <c r="AH431" s="49">
        <v>19314000</v>
      </c>
      <c r="AI431" s="59">
        <f t="shared" si="62"/>
        <v>8.4059938390852462E-3</v>
      </c>
      <c r="AJ431" s="46">
        <f t="shared" si="63"/>
        <v>1680684.13</v>
      </c>
      <c r="AK431" s="57">
        <f t="shared" si="63"/>
        <v>2.2487403596100242E-2</v>
      </c>
    </row>
    <row r="432" spans="1:37" ht="22.5" x14ac:dyDescent="0.55000000000000004">
      <c r="A432" s="46" t="s">
        <v>1301</v>
      </c>
      <c r="B432" s="53">
        <v>0.60416666666666663</v>
      </c>
      <c r="C432" s="46">
        <v>1687049.4</v>
      </c>
      <c r="D432" s="57">
        <f t="shared" si="53"/>
        <v>3.7873089216353684E-3</v>
      </c>
      <c r="E432" s="46">
        <v>523649.2</v>
      </c>
      <c r="F432" s="57">
        <f t="shared" si="54"/>
        <v>6.3751604744664014E-3</v>
      </c>
      <c r="G432" s="56">
        <v>62276467.516999997</v>
      </c>
      <c r="H432" s="56">
        <v>93960.49</v>
      </c>
      <c r="I432" s="52">
        <f t="shared" si="55"/>
        <v>93.960490000000007</v>
      </c>
      <c r="J432" s="52">
        <f t="shared" si="56"/>
        <v>91.317085000000006</v>
      </c>
      <c r="K432" s="54">
        <v>11659368.487</v>
      </c>
      <c r="L432" s="54">
        <v>4112527.2590000001</v>
      </c>
      <c r="M432" s="54">
        <v>57925.245000000003</v>
      </c>
      <c r="N432" s="48">
        <v>10585</v>
      </c>
      <c r="O432" s="48">
        <f>173+170</f>
        <v>343</v>
      </c>
      <c r="P432" s="48">
        <f>225+144</f>
        <v>369</v>
      </c>
      <c r="Q432" s="48">
        <v>121</v>
      </c>
      <c r="R432" s="51">
        <v>5.2</v>
      </c>
      <c r="S432" s="48">
        <v>33</v>
      </c>
      <c r="T432" s="51">
        <v>3.5</v>
      </c>
      <c r="U432" s="47" t="s">
        <v>1302</v>
      </c>
      <c r="V432" s="47" t="s">
        <v>1303</v>
      </c>
      <c r="W432" s="46">
        <v>-330</v>
      </c>
      <c r="X432" s="46">
        <v>393888</v>
      </c>
      <c r="Y432" s="57">
        <f t="shared" si="57"/>
        <v>1.4623490833593156E-2</v>
      </c>
      <c r="Z432" s="46" t="s">
        <v>1266</v>
      </c>
      <c r="AA432" s="49">
        <v>391165</v>
      </c>
      <c r="AB432" s="55">
        <f t="shared" si="58"/>
        <v>199.52798247031302</v>
      </c>
      <c r="AC432" s="57">
        <f t="shared" si="59"/>
        <v>-2.844899447079996E-3</v>
      </c>
      <c r="AD432" s="50">
        <v>21142</v>
      </c>
      <c r="AE432" s="58">
        <f t="shared" si="60"/>
        <v>1.4686120176617301E-2</v>
      </c>
      <c r="AF432" s="49">
        <v>221010000</v>
      </c>
      <c r="AG432" s="57">
        <f t="shared" si="61"/>
        <v>3.6778158277431139E-2</v>
      </c>
      <c r="AH432" s="49">
        <v>19732000</v>
      </c>
      <c r="AI432" s="59">
        <f t="shared" si="62"/>
        <v>2.164233198715948E-2</v>
      </c>
      <c r="AJ432" s="46">
        <f t="shared" si="63"/>
        <v>1687049.4</v>
      </c>
      <c r="AK432" s="57">
        <f t="shared" si="63"/>
        <v>3.7873089216353684E-3</v>
      </c>
    </row>
  </sheetData>
  <mergeCells count="5">
    <mergeCell ref="A1:A2"/>
    <mergeCell ref="B1:B2"/>
    <mergeCell ref="C1:T1"/>
    <mergeCell ref="U1:W1"/>
    <mergeCell ref="X1:AK1"/>
  </mergeCells>
  <conditionalFormatting sqref="AC60:AC397">
    <cfRule type="cellIs" dxfId="11" priority="12" operator="lessThan">
      <formula>0</formula>
    </cfRule>
  </conditionalFormatting>
  <conditionalFormatting sqref="AK59:AK397">
    <cfRule type="cellIs" dxfId="10" priority="11" operator="lessThan">
      <formula>0</formula>
    </cfRule>
  </conditionalFormatting>
  <conditionalFormatting sqref="D61:D397">
    <cfRule type="cellIs" dxfId="9" priority="10" operator="lessThan">
      <formula>0</formula>
    </cfRule>
  </conditionalFormatting>
  <conditionalFormatting sqref="F61:F397">
    <cfRule type="cellIs" dxfId="8" priority="9" operator="lessThan">
      <formula>0</formula>
    </cfRule>
  </conditionalFormatting>
  <conditionalFormatting sqref="AC405:AC409">
    <cfRule type="cellIs" dxfId="7" priority="8" operator="lessThan">
      <formula>0</formula>
    </cfRule>
  </conditionalFormatting>
  <conditionalFormatting sqref="AK405:AK409">
    <cfRule type="cellIs" dxfId="6" priority="7" operator="lessThan">
      <formula>0</formula>
    </cfRule>
  </conditionalFormatting>
  <conditionalFormatting sqref="D405:D409">
    <cfRule type="cellIs" dxfId="5" priority="6" operator="lessThan">
      <formula>0</formula>
    </cfRule>
  </conditionalFormatting>
  <conditionalFormatting sqref="F405:F409">
    <cfRule type="cellIs" dxfId="4" priority="5" operator="lessThan">
      <formula>0</formula>
    </cfRule>
  </conditionalFormatting>
  <conditionalFormatting sqref="AC425:AC432">
    <cfRule type="cellIs" dxfId="3" priority="4" operator="lessThan">
      <formula>0</formula>
    </cfRule>
  </conditionalFormatting>
  <conditionalFormatting sqref="AK425:AK432">
    <cfRule type="cellIs" dxfId="2" priority="3" operator="lessThan">
      <formula>0</formula>
    </cfRule>
  </conditionalFormatting>
  <conditionalFormatting sqref="D425:D432">
    <cfRule type="cellIs" dxfId="1" priority="2" operator="lessThan">
      <formula>0</formula>
    </cfRule>
  </conditionalFormatting>
  <conditionalFormatting sqref="F425:F432">
    <cfRule type="cellIs" dxfId="0" priority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2023-01-18T12:06:37Z</dcterms:modified>
</cp:coreProperties>
</file>